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Edenor\Clase 8 y 9\"/>
    </mc:Choice>
  </mc:AlternateContent>
  <xr:revisionPtr revIDLastSave="0" documentId="13_ncr:1_{96790C2B-FB0F-47DF-A2D0-C019C31C690A}" xr6:coauthVersionLast="47" xr6:coauthVersionMax="47" xr10:uidLastSave="{00000000-0000-0000-0000-000000000000}"/>
  <bookViews>
    <workbookView xWindow="-120" yWindow="-120" windowWidth="29040" windowHeight="15840" xr2:uid="{5A7869C8-6724-4931-8FBD-F406316EB44F}"/>
  </bookViews>
  <sheets>
    <sheet name="ON Clase 8" sheetId="1" r:id="rId1"/>
    <sheet name="ON Clase 9" sheetId="2" r:id="rId2"/>
  </sheets>
  <definedNames>
    <definedName name="_xlnm.Print_Area" localSheetId="0">'ON Clase 8'!$A$9:$P$19</definedName>
    <definedName name="_xlnm.Print_Area" localSheetId="1">'ON Clase 9'!$A$4:$P$22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2" l="1"/>
  <c r="L10" i="2"/>
  <c r="L12" i="1"/>
  <c r="C16" i="2" l="1"/>
  <c r="D16" i="2"/>
  <c r="B16" i="2" s="1"/>
  <c r="B17" i="2" s="1"/>
  <c r="H17" i="2" s="1"/>
  <c r="F16" i="2"/>
  <c r="G16" i="2"/>
  <c r="K16" i="2" s="1"/>
  <c r="G17" i="2" s="1"/>
  <c r="C17" i="2"/>
  <c r="C18" i="2"/>
  <c r="C19" i="2"/>
  <c r="C20" i="2"/>
  <c r="J20" i="2"/>
  <c r="J28" i="2" s="1"/>
  <c r="L16" i="2" l="1"/>
  <c r="D17" i="2"/>
  <c r="F17" i="2" s="1"/>
  <c r="O17" i="2" s="1"/>
  <c r="B18" i="2"/>
  <c r="H18" i="2" s="1"/>
  <c r="I17" i="2"/>
  <c r="K17" i="2"/>
  <c r="G18" i="2" s="1"/>
  <c r="J19" i="1"/>
  <c r="L17" i="2" l="1"/>
  <c r="D18" i="2"/>
  <c r="F18" i="2" s="1"/>
  <c r="O18" i="2" s="1"/>
  <c r="B19" i="2"/>
  <c r="H19" i="2" s="1"/>
  <c r="I18" i="2"/>
  <c r="L18" i="2" s="1"/>
  <c r="K18" i="2"/>
  <c r="G19" i="2" s="1"/>
  <c r="I19" i="2" s="1"/>
  <c r="D17" i="1"/>
  <c r="D19" i="2" l="1"/>
  <c r="F19" i="2" s="1"/>
  <c r="O19" i="2" s="1"/>
  <c r="B20" i="2"/>
  <c r="D20" i="2" s="1"/>
  <c r="H20" i="2" s="1"/>
  <c r="L19" i="2"/>
  <c r="K19" i="2"/>
  <c r="G20" i="2" s="1"/>
  <c r="F17" i="1"/>
  <c r="G17" i="1"/>
  <c r="J20" i="1"/>
  <c r="F20" i="2" l="1"/>
  <c r="I20" i="2"/>
  <c r="K20" i="2"/>
  <c r="B17" i="1"/>
  <c r="C19" i="1"/>
  <c r="C18" i="1"/>
  <c r="C17" i="1"/>
  <c r="L20" i="2" l="1"/>
  <c r="I28" i="2"/>
  <c r="O20" i="2"/>
  <c r="B18" i="1"/>
  <c r="K17" i="1"/>
  <c r="L17" i="1"/>
  <c r="H18" i="1" l="1"/>
  <c r="D18" i="1"/>
  <c r="L28" i="2"/>
  <c r="N18" i="2"/>
  <c r="F18" i="1"/>
  <c r="O18" i="1" s="1"/>
  <c r="B19" i="1"/>
  <c r="D19" i="1" s="1"/>
  <c r="H19" i="1" s="1"/>
  <c r="G18" i="1"/>
  <c r="K18" i="1" s="1"/>
  <c r="N19" i="2" l="1"/>
  <c r="N20" i="2"/>
  <c r="N17" i="2"/>
  <c r="N28" i="2" s="1"/>
  <c r="L12" i="2" s="1"/>
  <c r="F19" i="1"/>
  <c r="O19" i="1" s="1"/>
  <c r="I18" i="1"/>
  <c r="L18" i="1" s="1"/>
  <c r="G19" i="1"/>
  <c r="Q18" i="2" l="1"/>
  <c r="Q17" i="2"/>
  <c r="Q20" i="2"/>
  <c r="Q19" i="2"/>
  <c r="K19" i="1"/>
  <c r="I19" i="1"/>
  <c r="L19" i="1" s="1"/>
  <c r="L11" i="1" s="1"/>
  <c r="L11" i="2" l="1"/>
  <c r="N19" i="1"/>
  <c r="N18" i="1"/>
  <c r="I20" i="1"/>
  <c r="L20" i="1" l="1"/>
  <c r="N20" i="1" l="1"/>
  <c r="Q19" i="1" s="1"/>
  <c r="G14" i="1" l="1"/>
  <c r="Q18" i="1"/>
  <c r="L13" i="1" s="1"/>
  <c r="L14" i="1" l="1"/>
</calcChain>
</file>

<file path=xl/sharedStrings.xml><?xml version="1.0" encoding="utf-8"?>
<sst xmlns="http://schemas.openxmlformats.org/spreadsheetml/2006/main" count="48" uniqueCount="37">
  <si>
    <t>VN (USD)</t>
  </si>
  <si>
    <t>TIR</t>
  </si>
  <si>
    <t>Fecha de Emisión y Liquidación</t>
  </si>
  <si>
    <t>Tasa Fija a Licitar</t>
  </si>
  <si>
    <t>Duration (meses)</t>
  </si>
  <si>
    <t>Precio</t>
  </si>
  <si>
    <t>Tasa de cupon</t>
  </si>
  <si>
    <t>Fecha de Pago</t>
  </si>
  <si>
    <t>Capital (USD)</t>
  </si>
  <si>
    <t>Días Intereses</t>
  </si>
  <si>
    <t>Intereses (USD)</t>
  </si>
  <si>
    <t>Amortización (USD)</t>
  </si>
  <si>
    <t>Capital Residual (USD)</t>
  </si>
  <si>
    <t>Flujo (USD)</t>
  </si>
  <si>
    <t>VA Flujo</t>
  </si>
  <si>
    <t>Días Flujo</t>
  </si>
  <si>
    <t>Duration</t>
  </si>
  <si>
    <t>Totales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</si>
  <si>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Precio que ha tenido a su disposición.
</t>
  </si>
  <si>
    <t>Duration (años)</t>
  </si>
  <si>
    <t>TNA (180 d)</t>
  </si>
  <si>
    <t>Dólar Cable - 12 meses</t>
  </si>
  <si>
    <t>ON EDENOR S.A. Clase 8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</si>
  <si>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</t>
  </si>
  <si>
    <t>Flujo (AR$)</t>
  </si>
  <si>
    <t>Capital Residual (AR$)</t>
  </si>
  <si>
    <t>Amortización (AR$)</t>
  </si>
  <si>
    <t>Intereses (AR$)</t>
  </si>
  <si>
    <t>Capital (AR$)</t>
  </si>
  <si>
    <t>día de pago</t>
  </si>
  <si>
    <t>Fecha</t>
  </si>
  <si>
    <t>TAMAR Proyectada</t>
  </si>
  <si>
    <t>Margen a licitar</t>
  </si>
  <si>
    <t>TNA (90 d)</t>
  </si>
  <si>
    <t>VN (AR$)</t>
  </si>
  <si>
    <t>Pesos Tamar - 12 meses</t>
  </si>
  <si>
    <t>ON EDENOR S.A. Clase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</si>
</sst>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[$-C0A]d\-mmm\-yy;@"/>
    <numFmt numFmtId="165" formatCode="_ * #,##0.00_ ;_ * \-#,##0.00_ ;_ * &quot;-&quot;??_ ;_ @_ "/>
    <numFmt numFmtId="166" formatCode="_ * #,##0_ ;_ * \-#,##0_ ;_ * &quot;-&quot;??_ ;_ @_ "/>
    <numFmt numFmtId="167" formatCode="[$-2C0A]dddd\,\ dd&quot; de &quot;mmmm&quot; de &quot;yyyy;@"/>
    <numFmt numFmtId="168" formatCode="_ &quot;$&quot;\ * #,##0.0_ ;_ &quot;$&quot;\ * \-#,##0.0_ ;_ &quot;$&quot;\ * &quot;-&quot;_ ;_ @_ "/>
    <numFmt numFmtId="169" formatCode="_ &quot;$&quot;\ * #,##0.00_ ;_ &quot;$&quot;\ * \-#,##0.00_ ;_ &quot;$&quot;\ * &quot;-&quot;??_ ;_ @_ "/>
    <numFmt numFmtId="170" formatCode="_ &quot;$&quot;\ * #,##0_ ;_ &quot;$&quot;\ * \-#,##0_ ;_ &quot;$&quot;\ * &quot;-&quot;??_ ;_ @_ "/>
    <numFmt numFmtId="171" formatCode="_ * #,##0.0_ ;_ * \-#,##0.0_ ;_ * &quot;-&quot;?_ ;_ @_ "/>
    <numFmt numFmtId="172" formatCode="_ &quot;$&quot;\ * #,##0_ ;_ &quot;$&quot;\ * \-#,##0_ ;_ &quot;$&quot;\ * &quot;-&quot;_ ;_ @_ "/>
    <numFmt numFmtId="173" formatCode="#,##0_ ;\-#,##0\ "/>
    <numFmt numFmtId="174" formatCode="0.000%"/>
    <numFmt numFmtId="175" formatCode="0.0000%"/>
  </numFmts>
  <fonts count="15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sz val="11"/>
      <color indexed="8"/>
      <name val="verdana"/>
      <family val="2"/>
    </font>
    <font>
      <b/>
      <i/>
      <sz val="9"/>
      <color theme="1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664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0" borderId="0"/>
    <xf numFmtId="0" fontId="2" fillId="0" borderId="0">
      <alignment vertical="top"/>
    </xf>
    <xf numFmtId="0" fontId="14" fillId="0" borderId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164" fontId="4" fillId="0" borderId="0" xfId="0" applyNumberFormat="1" applyFont="1" applyProtection="1">
      <protection hidden="1"/>
    </xf>
    <xf numFmtId="0" fontId="3" fillId="2" borderId="0" xfId="0" applyFont="1" applyFill="1" applyProtection="1">
      <protection hidden="1"/>
    </xf>
    <xf numFmtId="0" fontId="3" fillId="0" borderId="0" xfId="0" applyFont="1"/>
    <xf numFmtId="0" fontId="5" fillId="0" borderId="0" xfId="0" applyFont="1" applyProtection="1">
      <protection hidden="1"/>
    </xf>
    <xf numFmtId="164" fontId="6" fillId="3" borderId="1" xfId="0" applyNumberFormat="1" applyFont="1" applyFill="1" applyBorder="1" applyAlignment="1" applyProtection="1">
      <alignment horizontal="left"/>
      <protection hidden="1"/>
    </xf>
    <xf numFmtId="166" fontId="7" fillId="4" borderId="1" xfId="1" applyNumberFormat="1" applyFont="1" applyFill="1" applyBorder="1" applyProtection="1">
      <protection locked="0" hidden="1"/>
    </xf>
    <xf numFmtId="10" fontId="7" fillId="5" borderId="1" xfId="3" applyNumberFormat="1" applyFont="1" applyFill="1" applyBorder="1" applyProtection="1">
      <protection hidden="1"/>
    </xf>
    <xf numFmtId="10" fontId="8" fillId="2" borderId="0" xfId="3" applyNumberFormat="1" applyFont="1" applyFill="1" applyBorder="1" applyProtection="1">
      <protection hidden="1"/>
    </xf>
    <xf numFmtId="14" fontId="7" fillId="5" borderId="1" xfId="4" applyNumberFormat="1" applyFont="1" applyFill="1" applyBorder="1" applyProtection="1">
      <protection hidden="1"/>
    </xf>
    <xf numFmtId="165" fontId="8" fillId="2" borderId="0" xfId="1" applyFont="1" applyFill="1" applyBorder="1" applyProtection="1">
      <protection hidden="1"/>
    </xf>
    <xf numFmtId="165" fontId="7" fillId="5" borderId="1" xfId="1" applyFont="1" applyFill="1" applyBorder="1" applyProtection="1">
      <protection hidden="1"/>
    </xf>
    <xf numFmtId="9" fontId="7" fillId="5" borderId="1" xfId="3" applyFont="1" applyFill="1" applyBorder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10" fillId="0" borderId="0" xfId="0" applyFont="1"/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64" fontId="11" fillId="0" borderId="4" xfId="0" applyNumberFormat="1" applyFont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Alignment="1" applyProtection="1">
      <alignment horizontal="center" vertical="center" wrapTex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6" xfId="5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10" fillId="0" borderId="0" xfId="0" applyNumberFormat="1" applyFont="1" applyProtection="1">
      <protection hidden="1"/>
    </xf>
    <xf numFmtId="10" fontId="3" fillId="0" borderId="0" xfId="0" applyNumberFormat="1" applyFont="1" applyProtection="1">
      <protection hidden="1"/>
    </xf>
    <xf numFmtId="167" fontId="4" fillId="0" borderId="0" xfId="0" applyNumberFormat="1" applyFont="1" applyProtection="1">
      <protection hidden="1"/>
    </xf>
    <xf numFmtId="167" fontId="4" fillId="5" borderId="7" xfId="0" applyNumberFormat="1" applyFont="1" applyFill="1" applyBorder="1" applyProtection="1">
      <protection hidden="1"/>
    </xf>
    <xf numFmtId="168" fontId="4" fillId="5" borderId="0" xfId="0" applyNumberFormat="1" applyFont="1" applyFill="1" applyProtection="1">
      <protection hidden="1"/>
    </xf>
    <xf numFmtId="168" fontId="4" fillId="5" borderId="8" xfId="0" applyNumberFormat="1" applyFont="1" applyFill="1" applyBorder="1" applyAlignment="1" applyProtection="1">
      <alignment horizontal="right" indent="1"/>
      <protection hidden="1"/>
    </xf>
    <xf numFmtId="168" fontId="4" fillId="5" borderId="9" xfId="0" applyNumberFormat="1" applyFont="1" applyFill="1" applyBorder="1" applyProtection="1">
      <protection hidden="1"/>
    </xf>
    <xf numFmtId="170" fontId="10" fillId="2" borderId="0" xfId="2" applyNumberFormat="1" applyFont="1" applyFill="1" applyBorder="1" applyAlignment="1" applyProtection="1">
      <alignment horizontal="right" indent="1"/>
      <protection hidden="1"/>
    </xf>
    <xf numFmtId="2" fontId="10" fillId="0" borderId="0" xfId="0" applyNumberFormat="1" applyFont="1" applyAlignment="1">
      <alignment horizontal="right" indent="1"/>
    </xf>
    <xf numFmtId="167" fontId="4" fillId="5" borderId="10" xfId="0" applyNumberFormat="1" applyFont="1" applyFill="1" applyBorder="1" applyProtection="1">
      <protection hidden="1"/>
    </xf>
    <xf numFmtId="166" fontId="4" fillId="5" borderId="0" xfId="1" applyNumberFormat="1" applyFont="1" applyFill="1" applyBorder="1" applyAlignment="1" applyProtection="1">
      <alignment horizontal="right" indent="1"/>
      <protection hidden="1"/>
    </xf>
    <xf numFmtId="166" fontId="10" fillId="0" borderId="0" xfId="1" applyNumberFormat="1" applyFont="1" applyAlignment="1" applyProtection="1"/>
    <xf numFmtId="1" fontId="10" fillId="0" borderId="0" xfId="0" applyNumberFormat="1" applyFont="1" applyAlignment="1">
      <alignment horizontal="right" indent="1"/>
    </xf>
    <xf numFmtId="171" fontId="3" fillId="0" borderId="0" xfId="0" applyNumberFormat="1" applyFont="1"/>
    <xf numFmtId="168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8" fontId="1" fillId="6" borderId="6" xfId="5" applyNumberFormat="1" applyFont="1" applyFill="1" applyBorder="1" applyAlignment="1" applyProtection="1">
      <alignment horizontal="center" vertical="center" wrapText="1"/>
      <protection hidden="1"/>
    </xf>
    <xf numFmtId="166" fontId="3" fillId="0" borderId="13" xfId="0" applyNumberFormat="1" applyFont="1" applyBorder="1"/>
    <xf numFmtId="0" fontId="4" fillId="0" borderId="0" xfId="0" applyFont="1"/>
    <xf numFmtId="164" fontId="4" fillId="0" borderId="0" xfId="0" applyNumberFormat="1" applyFont="1"/>
    <xf numFmtId="0" fontId="3" fillId="2" borderId="0" xfId="0" applyFont="1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10" fontId="7" fillId="4" borderId="3" xfId="3" applyNumberFormat="1" applyFont="1" applyFill="1" applyBorder="1" applyAlignment="1" applyProtection="1">
      <alignment vertical="center" wrapText="1"/>
      <protection locked="0" hidden="1"/>
    </xf>
    <xf numFmtId="164" fontId="6" fillId="3" borderId="3" xfId="0" applyNumberFormat="1" applyFont="1" applyFill="1" applyBorder="1" applyAlignment="1" applyProtection="1">
      <alignment vertical="center"/>
      <protection hidden="1"/>
    </xf>
    <xf numFmtId="0" fontId="1" fillId="3" borderId="2" xfId="0" applyFont="1" applyFill="1" applyBorder="1" applyProtection="1">
      <protection hidden="1"/>
    </xf>
    <xf numFmtId="172" fontId="4" fillId="5" borderId="0" xfId="0" applyNumberFormat="1" applyFont="1" applyFill="1" applyProtection="1">
      <protection hidden="1"/>
    </xf>
    <xf numFmtId="172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0" fontId="1" fillId="6" borderId="11" xfId="5" applyFont="1" applyFill="1" applyBorder="1" applyAlignment="1" applyProtection="1">
      <alignment horizontal="center" vertical="center" wrapText="1"/>
      <protection hidden="1"/>
    </xf>
    <xf numFmtId="0" fontId="1" fillId="6" borderId="12" xfId="5" applyFont="1" applyFill="1" applyBorder="1" applyAlignment="1" applyProtection="1">
      <alignment horizontal="center" vertical="center" wrapText="1"/>
      <protection hidden="1"/>
    </xf>
    <xf numFmtId="0" fontId="3" fillId="0" borderId="0" xfId="4" applyFont="1"/>
    <xf numFmtId="0" fontId="3" fillId="2" borderId="0" xfId="4" applyFont="1" applyFill="1"/>
    <xf numFmtId="0" fontId="4" fillId="0" borderId="0" xfId="4" applyFont="1"/>
    <xf numFmtId="164" fontId="4" fillId="0" borderId="0" xfId="4" applyNumberFormat="1" applyFont="1"/>
    <xf numFmtId="0" fontId="3" fillId="0" borderId="0" xfId="4" applyFont="1" applyProtection="1">
      <protection hidden="1"/>
    </xf>
    <xf numFmtId="0" fontId="3" fillId="2" borderId="0" xfId="4" applyFont="1" applyFill="1" applyProtection="1">
      <protection hidden="1"/>
    </xf>
    <xf numFmtId="0" fontId="4" fillId="0" borderId="0" xfId="4" applyFont="1" applyProtection="1">
      <protection hidden="1"/>
    </xf>
    <xf numFmtId="164" fontId="4" fillId="0" borderId="0" xfId="4" applyNumberFormat="1" applyFont="1" applyProtection="1">
      <protection hidden="1"/>
    </xf>
    <xf numFmtId="0" fontId="3" fillId="0" borderId="0" xfId="7" applyFont="1"/>
    <xf numFmtId="0" fontId="4" fillId="0" borderId="0" xfId="7" applyFont="1"/>
    <xf numFmtId="166" fontId="3" fillId="0" borderId="13" xfId="7" applyNumberFormat="1" applyFont="1" applyBorder="1"/>
    <xf numFmtId="2" fontId="10" fillId="2" borderId="0" xfId="4" applyNumberFormat="1" applyFont="1" applyFill="1" applyAlignment="1" applyProtection="1">
      <alignment horizontal="right" indent="1"/>
      <protection hidden="1"/>
    </xf>
    <xf numFmtId="168" fontId="1" fillId="6" borderId="12" xfId="5" applyNumberFormat="1" applyFont="1" applyFill="1" applyBorder="1" applyAlignment="1" applyProtection="1">
      <alignment horizontal="center" vertical="center" wrapText="1"/>
      <protection hidden="1"/>
    </xf>
    <xf numFmtId="168" fontId="1" fillId="6" borderId="11" xfId="5" applyNumberFormat="1" applyFont="1" applyFill="1" applyBorder="1" applyAlignment="1" applyProtection="1">
      <alignment horizontal="center" vertical="center" wrapText="1"/>
      <protection hidden="1"/>
    </xf>
    <xf numFmtId="172" fontId="1" fillId="6" borderId="11" xfId="5" applyNumberFormat="1" applyFont="1" applyFill="1" applyBorder="1" applyAlignment="1" applyProtection="1">
      <alignment horizontal="center" vertical="center" wrapText="1"/>
      <protection hidden="1"/>
    </xf>
    <xf numFmtId="167" fontId="10" fillId="0" borderId="0" xfId="4" applyNumberFormat="1" applyFont="1"/>
    <xf numFmtId="9" fontId="3" fillId="0" borderId="0" xfId="4" applyNumberFormat="1" applyFont="1"/>
    <xf numFmtId="171" fontId="3" fillId="0" borderId="0" xfId="7" applyNumberFormat="1" applyFont="1"/>
    <xf numFmtId="1" fontId="10" fillId="0" borderId="0" xfId="7" applyNumberFormat="1" applyFont="1" applyAlignment="1">
      <alignment horizontal="right" indent="1"/>
    </xf>
    <xf numFmtId="166" fontId="10" fillId="0" borderId="0" xfId="8" applyNumberFormat="1" applyFont="1" applyAlignment="1" applyProtection="1"/>
    <xf numFmtId="170" fontId="10" fillId="2" borderId="0" xfId="9" applyNumberFormat="1" applyFont="1" applyFill="1" applyBorder="1" applyAlignment="1" applyProtection="1">
      <alignment horizontal="right" indent="1"/>
      <protection hidden="1"/>
    </xf>
    <xf numFmtId="168" fontId="4" fillId="5" borderId="9" xfId="4" applyNumberFormat="1" applyFont="1" applyFill="1" applyBorder="1" applyProtection="1">
      <protection hidden="1"/>
    </xf>
    <xf numFmtId="172" fontId="4" fillId="5" borderId="0" xfId="4" applyNumberFormat="1" applyFont="1" applyFill="1" applyProtection="1">
      <protection hidden="1"/>
    </xf>
    <xf numFmtId="168" fontId="4" fillId="5" borderId="0" xfId="4" applyNumberFormat="1" applyFont="1" applyFill="1" applyProtection="1">
      <protection hidden="1"/>
    </xf>
    <xf numFmtId="173" fontId="4" fillId="5" borderId="0" xfId="4" applyNumberFormat="1" applyFont="1" applyFill="1" applyAlignment="1" applyProtection="1">
      <alignment horizontal="right" indent="1"/>
      <protection hidden="1"/>
    </xf>
    <xf numFmtId="167" fontId="4" fillId="5" borderId="10" xfId="7" applyNumberFormat="1" applyFont="1" applyFill="1" applyBorder="1" applyProtection="1">
      <protection hidden="1"/>
    </xf>
    <xf numFmtId="167" fontId="4" fillId="0" borderId="0" xfId="4" applyNumberFormat="1" applyFont="1" applyProtection="1">
      <protection hidden="1"/>
    </xf>
    <xf numFmtId="167" fontId="10" fillId="2" borderId="0" xfId="7" applyNumberFormat="1" applyFont="1" applyFill="1" applyProtection="1">
      <protection hidden="1"/>
    </xf>
    <xf numFmtId="167" fontId="10" fillId="0" borderId="0" xfId="7" applyNumberFormat="1" applyFont="1" applyProtection="1">
      <protection hidden="1"/>
    </xf>
    <xf numFmtId="174" fontId="3" fillId="0" borderId="0" xfId="4" applyNumberFormat="1" applyFont="1"/>
    <xf numFmtId="2" fontId="10" fillId="0" borderId="0" xfId="7" applyNumberFormat="1" applyFont="1" applyAlignment="1">
      <alignment horizontal="right" indent="1"/>
    </xf>
    <xf numFmtId="168" fontId="4" fillId="5" borderId="8" xfId="4" applyNumberFormat="1" applyFont="1" applyFill="1" applyBorder="1" applyAlignment="1" applyProtection="1">
      <alignment horizontal="right" indent="1"/>
      <protection hidden="1"/>
    </xf>
    <xf numFmtId="167" fontId="4" fillId="5" borderId="7" xfId="7" applyNumberFormat="1" applyFont="1" applyFill="1" applyBorder="1" applyProtection="1">
      <protection hidden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Alignment="1" applyProtection="1">
      <alignment horizontal="center" vertical="center" wrapText="1"/>
      <protection hidden="1"/>
    </xf>
    <xf numFmtId="0" fontId="11" fillId="0" borderId="4" xfId="7" applyFont="1" applyBorder="1" applyAlignment="1">
      <alignment horizontal="center" vertical="center" wrapText="1"/>
    </xf>
    <xf numFmtId="0" fontId="3" fillId="0" borderId="0" xfId="7" applyFont="1" applyAlignment="1">
      <alignment horizontal="center" vertical="center" wrapText="1"/>
    </xf>
    <xf numFmtId="0" fontId="11" fillId="2" borderId="0" xfId="4" applyFont="1" applyFill="1" applyAlignment="1" applyProtection="1">
      <alignment horizontal="center" vertical="center" wrapText="1"/>
      <protection hidden="1"/>
    </xf>
    <xf numFmtId="164" fontId="5" fillId="0" borderId="0" xfId="4" applyNumberFormat="1" applyFont="1" applyAlignment="1" applyProtection="1">
      <alignment horizontal="center" vertical="center" wrapText="1"/>
      <protection hidden="1"/>
    </xf>
    <xf numFmtId="164" fontId="11" fillId="0" borderId="4" xfId="4" applyNumberFormat="1" applyFont="1" applyBorder="1" applyAlignment="1">
      <alignment horizontal="center" vertical="center" wrapText="1"/>
    </xf>
    <xf numFmtId="0" fontId="10" fillId="0" borderId="0" xfId="4" applyFont="1" applyProtection="1">
      <protection hidden="1"/>
    </xf>
    <xf numFmtId="0" fontId="10" fillId="2" borderId="0" xfId="4" applyFont="1" applyFill="1" applyProtection="1">
      <protection hidden="1"/>
    </xf>
    <xf numFmtId="0" fontId="9" fillId="2" borderId="0" xfId="4" applyFont="1" applyFill="1" applyAlignment="1" applyProtection="1">
      <alignment horizontal="center"/>
      <protection hidden="1"/>
    </xf>
    <xf numFmtId="10" fontId="7" fillId="2" borderId="0" xfId="3" applyNumberFormat="1" applyFont="1" applyFill="1" applyBorder="1" applyProtection="1">
      <protection hidden="1"/>
    </xf>
    <xf numFmtId="0" fontId="1" fillId="2" borderId="0" xfId="7" applyFont="1" applyFill="1" applyAlignment="1" applyProtection="1">
      <alignment horizontal="right" indent="1"/>
      <protection hidden="1"/>
    </xf>
    <xf numFmtId="0" fontId="5" fillId="0" borderId="0" xfId="4" applyFont="1" applyProtection="1">
      <protection hidden="1"/>
    </xf>
    <xf numFmtId="10" fontId="4" fillId="0" borderId="0" xfId="4" applyNumberFormat="1" applyFont="1" applyProtection="1">
      <protection hidden="1"/>
    </xf>
    <xf numFmtId="175" fontId="7" fillId="4" borderId="1" xfId="3" applyNumberFormat="1" applyFont="1" applyFill="1" applyBorder="1" applyProtection="1">
      <protection locked="0" hidden="1"/>
    </xf>
    <xf numFmtId="164" fontId="6" fillId="3" borderId="1" xfId="4" applyNumberFormat="1" applyFont="1" applyFill="1" applyBorder="1" applyAlignment="1" applyProtection="1">
      <alignment horizontal="left"/>
      <protection hidden="1"/>
    </xf>
    <xf numFmtId="165" fontId="8" fillId="2" borderId="0" xfId="8" applyFont="1" applyFill="1" applyBorder="1" applyProtection="1">
      <protection hidden="1"/>
    </xf>
    <xf numFmtId="165" fontId="7" fillId="5" borderId="1" xfId="8" applyFont="1" applyFill="1" applyBorder="1" applyProtection="1">
      <protection hidden="1"/>
    </xf>
    <xf numFmtId="10" fontId="7" fillId="4" borderId="1" xfId="3" applyNumberFormat="1" applyFont="1" applyFill="1" applyBorder="1" applyProtection="1">
      <protection locked="0" hidden="1"/>
    </xf>
    <xf numFmtId="174" fontId="8" fillId="2" borderId="0" xfId="3" applyNumberFormat="1" applyFont="1" applyFill="1" applyBorder="1" applyProtection="1">
      <protection hidden="1"/>
    </xf>
    <xf numFmtId="166" fontId="7" fillId="4" borderId="1" xfId="8" applyNumberFormat="1" applyFont="1" applyFill="1" applyBorder="1" applyProtection="1">
      <protection locked="0" hidden="1"/>
    </xf>
    <xf numFmtId="0" fontId="5" fillId="0" borderId="0" xfId="7" applyFont="1" applyProtection="1"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11" xfId="5" applyFont="1" applyFill="1" applyBorder="1" applyAlignment="1" applyProtection="1">
      <alignment horizontal="center" vertical="center" wrapText="1"/>
      <protection hidden="1"/>
    </xf>
    <xf numFmtId="0" fontId="1" fillId="6" borderId="12" xfId="5" applyFont="1" applyFill="1" applyBorder="1" applyAlignment="1" applyProtection="1">
      <alignment horizontal="center" vertical="center" wrapText="1"/>
      <protection hidden="1"/>
    </xf>
    <xf numFmtId="0" fontId="13" fillId="5" borderId="0" xfId="0" applyFont="1" applyFill="1" applyAlignment="1" applyProtection="1">
      <alignment horizontal="center" vertical="top" wrapText="1"/>
      <protection hidden="1"/>
    </xf>
    <xf numFmtId="0" fontId="1" fillId="3" borderId="2" xfId="0" applyFont="1" applyFill="1" applyBorder="1" applyAlignment="1" applyProtection="1">
      <alignment horizontal="right" indent="1"/>
      <protection hidden="1"/>
    </xf>
    <xf numFmtId="0" fontId="13" fillId="5" borderId="0" xfId="7" applyFont="1" applyFill="1" applyAlignment="1" applyProtection="1">
      <alignment horizontal="center" vertical="center" wrapText="1"/>
      <protection hidden="1"/>
    </xf>
    <xf numFmtId="0" fontId="1" fillId="3" borderId="2" xfId="7" applyFont="1" applyFill="1" applyBorder="1" applyAlignment="1" applyProtection="1">
      <alignment horizontal="right" indent="1"/>
      <protection hidden="1"/>
    </xf>
  </cellXfs>
  <cellStyles count="10">
    <cellStyle name="Millares" xfId="1" builtinId="3"/>
    <cellStyle name="Millares 2" xfId="8" xr:uid="{1DDE9FC5-E73F-4907-9B65-19EB14F01754}"/>
    <cellStyle name="Moneda" xfId="2" builtinId="4"/>
    <cellStyle name="Moneda 2" xfId="9" xr:uid="{560B4BAA-BB97-4FDF-A998-EFEFA184E543}"/>
    <cellStyle name="Normal" xfId="0" builtinId="0"/>
    <cellStyle name="Normal 2" xfId="4" xr:uid="{EBC8AC57-EE1D-40F8-A643-B7F21F4937FD}"/>
    <cellStyle name="Normal 3" xfId="6" xr:uid="{5D768737-B89B-4158-BA02-EEA358076A1B}"/>
    <cellStyle name="Normal 4" xfId="7" xr:uid="{15A321D8-4C4C-4208-9918-C4BAE3DF12A9}"/>
    <cellStyle name="Normal_Calculadora Garbarino 45_v1" xfId="5" xr:uid="{5AE9708E-5E6C-442A-86E7-23EBBB0BEEDC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1100666</xdr:colOff>
      <xdr:row>4</xdr:row>
      <xdr:rowOff>78493</xdr:rowOff>
    </xdr:from>
    <xdr:to>
      <xdr:col>11</xdr:col>
      <xdr:colOff>1037870</xdr:colOff>
      <xdr:row>7</xdr:row>
      <xdr:rowOff>6173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0FBF603-5DCC-4C92-B0E5-EEAA6FABB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57322" y="840493"/>
          <a:ext cx="1330235" cy="499180"/>
        </a:xfrm>
        <a:prstGeom prst="rect">
          <a:avLst/>
        </a:prstGeom>
      </xdr:spPr>
    </xdr:pic>
    <xdr:clientData/>
  </xdr:twoCellAnchor>
  <xdr:twoCellAnchor editAs="oneCell">
    <xdr:from>
      <xdr:col>4</xdr:col>
      <xdr:colOff>952500</xdr:colOff>
      <xdr:row>2</xdr:row>
      <xdr:rowOff>127000</xdr:rowOff>
    </xdr:from>
    <xdr:to>
      <xdr:col>5</xdr:col>
      <xdr:colOff>1904999</xdr:colOff>
      <xdr:row>6</xdr:row>
      <xdr:rowOff>30486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F4C2FB-150A-4C02-85E7-E14638D9C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18500" y="508000"/>
          <a:ext cx="2021416" cy="665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1593055</xdr:colOff>
      <xdr:row>1</xdr:row>
      <xdr:rowOff>137154</xdr:rowOff>
    </xdr:from>
    <xdr:ext cx="1289960" cy="449678"/>
    <xdr:pic>
      <xdr:nvPicPr>
        <xdr:cNvPr id="2" name="Imagen 1">
          <a:extLst>
            <a:ext uri="{FF2B5EF4-FFF2-40B4-BE49-F238E27FC236}">
              <a16:creationId xmlns:a16="http://schemas.microsoft.com/office/drawing/2014/main" id="{DDC144E3-A630-440C-A3D9-11DE488D1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4380" y="299079"/>
          <a:ext cx="1289960" cy="449678"/>
        </a:xfrm>
        <a:prstGeom prst="rect">
          <a:avLst/>
        </a:prstGeom>
      </xdr:spPr>
    </xdr:pic>
    <xdr:clientData/>
  </xdr:oneCellAnchor>
  <xdr:twoCellAnchor editAs="oneCell">
    <xdr:from>
      <xdr:col>4</xdr:col>
      <xdr:colOff>535779</xdr:colOff>
      <xdr:row>1</xdr:row>
      <xdr:rowOff>11905</xdr:rowOff>
    </xdr:from>
    <xdr:to>
      <xdr:col>5</xdr:col>
      <xdr:colOff>2009633</xdr:colOff>
      <xdr:row>4</xdr:row>
      <xdr:rowOff>137582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F4C280E-A8BD-4101-BA96-77091BE48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78446" y="202405"/>
          <a:ext cx="2108854" cy="697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5D177-8F1A-4E1E-A344-B8498CD4B6AA}">
  <sheetPr>
    <pageSetUpPr fitToPage="1"/>
  </sheetPr>
  <dimension ref="A1:R72"/>
  <sheetViews>
    <sheetView showGridLines="0" tabSelected="1" topLeftCell="E1" zoomScale="90" zoomScaleNormal="90" workbookViewId="0">
      <selection activeCell="G11" sqref="G11"/>
    </sheetView>
  </sheetViews>
  <sheetFormatPr baseColWidth="10" defaultColWidth="0" defaultRowHeight="15" customHeight="1" zeroHeight="1"/>
  <cols>
    <col min="1" max="1" width="18.7109375" style="5" hidden="1" customWidth="1"/>
    <col min="2" max="2" width="34.85546875" style="5" hidden="1" customWidth="1"/>
    <col min="3" max="3" width="21.85546875" style="5" hidden="1" customWidth="1"/>
    <col min="4" max="4" width="34.85546875" style="5" hidden="1" customWidth="1"/>
    <col min="5" max="5" width="16" style="43" customWidth="1"/>
    <col min="6" max="6" width="34.7109375" style="44" customWidth="1"/>
    <col min="7" max="7" width="16.7109375" style="43" bestFit="1" customWidth="1"/>
    <col min="8" max="8" width="13.42578125" style="43" bestFit="1" customWidth="1"/>
    <col min="9" max="9" width="14.85546875" style="43" bestFit="1" customWidth="1"/>
    <col min="10" max="10" width="21.42578125" style="43" bestFit="1" customWidth="1"/>
    <col min="11" max="11" width="20.85546875" style="43" bestFit="1" customWidth="1"/>
    <col min="12" max="12" width="18.140625" style="43" customWidth="1"/>
    <col min="13" max="13" width="19.85546875" style="45" hidden="1" customWidth="1"/>
    <col min="14" max="14" width="12" style="5" hidden="1" customWidth="1"/>
    <col min="15" max="15" width="13.7109375" style="5" hidden="1" customWidth="1"/>
    <col min="16" max="16" width="12.28515625" style="5" hidden="1" customWidth="1"/>
    <col min="17" max="17" width="20.7109375" style="5" hidden="1" customWidth="1"/>
    <col min="18" max="18" width="9.140625" style="5" hidden="1" customWidth="1"/>
    <col min="19" max="16379" width="9.140625" style="5" customWidth="1"/>
    <col min="16380" max="16380" width="11" style="5" customWidth="1"/>
    <col min="16381" max="16381" width="28.85546875" style="5" customWidth="1"/>
    <col min="16382" max="16382" width="18.42578125" style="5" customWidth="1"/>
    <col min="16383" max="16383" width="21.140625" style="5" customWidth="1"/>
    <col min="16384" max="16384" width="20.5703125" style="5" customWidth="1"/>
  </cols>
  <sheetData>
    <row r="1" spans="1:17" ht="15" customHeight="1"/>
    <row r="2" spans="1:17" ht="15" customHeight="1"/>
    <row r="3" spans="1:17" ht="15" customHeight="1"/>
    <row r="4" spans="1:17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7">
      <c r="A5" s="1"/>
      <c r="B5" s="1"/>
      <c r="C5" s="1"/>
      <c r="D5" s="1"/>
      <c r="E5" s="2"/>
      <c r="F5" s="3"/>
      <c r="G5" s="2"/>
      <c r="H5" s="2"/>
      <c r="I5" s="2"/>
      <c r="J5" s="2"/>
      <c r="K5" s="2"/>
      <c r="L5" s="2"/>
      <c r="M5" s="4"/>
    </row>
    <row r="6" spans="1:17">
      <c r="A6" s="1"/>
      <c r="B6" s="1"/>
      <c r="C6" s="1"/>
      <c r="D6" s="1"/>
      <c r="E6" s="2"/>
      <c r="F6" s="3"/>
      <c r="G6" s="2"/>
      <c r="H6" s="2"/>
      <c r="I6" s="2"/>
      <c r="J6" s="2"/>
      <c r="K6" s="2"/>
      <c r="L6" s="2"/>
      <c r="M6" s="4"/>
    </row>
    <row r="7" spans="1:17">
      <c r="A7" s="1"/>
      <c r="B7" s="1"/>
      <c r="C7" s="1"/>
      <c r="D7" s="1"/>
      <c r="E7" s="2"/>
      <c r="F7" s="3"/>
      <c r="G7" s="2"/>
      <c r="H7" s="2"/>
      <c r="I7" s="2"/>
      <c r="J7" s="2"/>
      <c r="K7" s="2"/>
      <c r="L7" s="2"/>
      <c r="M7" s="4"/>
    </row>
    <row r="8" spans="1:17">
      <c r="A8" s="1"/>
      <c r="B8" s="1"/>
      <c r="C8" s="1"/>
      <c r="D8" s="1"/>
      <c r="E8" s="2"/>
      <c r="F8" s="6" t="s">
        <v>22</v>
      </c>
      <c r="G8" s="6"/>
      <c r="H8" s="6"/>
      <c r="I8" s="6"/>
      <c r="J8" s="2"/>
      <c r="K8" s="2"/>
      <c r="L8" s="2"/>
      <c r="M8" s="4"/>
    </row>
    <row r="9" spans="1:17">
      <c r="A9" s="1"/>
      <c r="B9" s="1"/>
      <c r="C9" s="1"/>
      <c r="D9" s="1"/>
      <c r="E9" s="2"/>
      <c r="F9" s="6" t="s">
        <v>21</v>
      </c>
      <c r="G9" s="2"/>
      <c r="H9" s="2"/>
      <c r="I9" s="2"/>
      <c r="J9" s="2"/>
      <c r="K9" s="2"/>
      <c r="L9" s="2"/>
      <c r="M9" s="4"/>
    </row>
    <row r="10" spans="1:17">
      <c r="A10" s="1"/>
      <c r="B10" s="1"/>
      <c r="C10" s="1"/>
      <c r="D10" s="1"/>
      <c r="E10" s="2"/>
      <c r="F10" s="3"/>
      <c r="G10" s="2"/>
      <c r="H10" s="2"/>
      <c r="I10" s="2"/>
      <c r="J10" s="2"/>
      <c r="K10" s="2"/>
      <c r="L10" s="2"/>
      <c r="M10" s="4"/>
    </row>
    <row r="11" spans="1:17">
      <c r="A11" s="1"/>
      <c r="B11" s="1"/>
      <c r="C11" s="1"/>
      <c r="D11" s="1"/>
      <c r="E11" s="2"/>
      <c r="F11" s="7" t="s">
        <v>0</v>
      </c>
      <c r="G11" s="8">
        <v>100</v>
      </c>
      <c r="H11" s="2"/>
      <c r="I11" s="2"/>
      <c r="J11" s="115" t="s">
        <v>1</v>
      </c>
      <c r="K11" s="115"/>
      <c r="L11" s="9">
        <f>+XIRR(L17:L19,F17:F19)</f>
        <v>8.4181597828865043E-2</v>
      </c>
      <c r="M11" s="10"/>
    </row>
    <row r="12" spans="1:17">
      <c r="A12" s="1"/>
      <c r="B12" s="1"/>
      <c r="C12" s="1"/>
      <c r="D12" s="1"/>
      <c r="E12" s="2"/>
      <c r="F12" s="7" t="s">
        <v>2</v>
      </c>
      <c r="G12" s="11">
        <v>45876</v>
      </c>
      <c r="H12" s="2"/>
      <c r="I12" s="2"/>
      <c r="J12" s="115" t="s">
        <v>20</v>
      </c>
      <c r="K12" s="115"/>
      <c r="L12" s="9">
        <f>+NOMINAL(L11,2)</f>
        <v>8.2480826157941056E-2</v>
      </c>
      <c r="M12" s="12"/>
    </row>
    <row r="13" spans="1:17">
      <c r="A13" s="1"/>
      <c r="B13" s="1"/>
      <c r="C13" s="1"/>
      <c r="D13" s="1"/>
      <c r="E13" s="2"/>
      <c r="F13" s="50" t="s">
        <v>3</v>
      </c>
      <c r="G13" s="49">
        <v>8.2500000000000004E-2</v>
      </c>
      <c r="H13" s="2"/>
      <c r="I13" s="2"/>
      <c r="J13" s="115" t="s">
        <v>4</v>
      </c>
      <c r="K13" s="115"/>
      <c r="L13" s="13">
        <f>+SUM(Q18:Q19)/(365/12)</f>
        <v>11.765127209158624</v>
      </c>
      <c r="M13" s="12"/>
    </row>
    <row r="14" spans="1:17">
      <c r="A14" s="1"/>
      <c r="B14" s="1"/>
      <c r="C14" s="1"/>
      <c r="D14" s="1"/>
      <c r="E14" s="2"/>
      <c r="F14" s="51" t="s">
        <v>5</v>
      </c>
      <c r="G14" s="14">
        <f>G11/N20</f>
        <v>0.99999999815022766</v>
      </c>
      <c r="I14" s="6"/>
      <c r="J14" s="115" t="s">
        <v>19</v>
      </c>
      <c r="K14" s="115"/>
      <c r="L14" s="13">
        <f>+SUM(Q18:Q19)/(365)</f>
        <v>0.9804272674298854</v>
      </c>
      <c r="M14" s="15"/>
      <c r="N14" s="16"/>
    </row>
    <row r="15" spans="1:17" ht="15.75" thickBot="1">
      <c r="A15" s="1"/>
      <c r="B15" s="1"/>
      <c r="C15" s="1"/>
      <c r="D15" s="1"/>
      <c r="E15" s="2"/>
      <c r="F15" s="3"/>
      <c r="G15" s="2"/>
      <c r="H15" s="2"/>
      <c r="I15" s="2"/>
      <c r="J15" s="2"/>
      <c r="K15" s="2"/>
      <c r="L15" s="2"/>
      <c r="M15" s="17"/>
      <c r="N15" s="16"/>
    </row>
    <row r="16" spans="1:17" s="25" customFormat="1" ht="28.5" customHeight="1" thickBot="1">
      <c r="A16" s="18"/>
      <c r="B16" s="19"/>
      <c r="C16" s="19" t="s">
        <v>6</v>
      </c>
      <c r="D16" s="19"/>
      <c r="E16" s="20"/>
      <c r="F16" s="21" t="s">
        <v>7</v>
      </c>
      <c r="G16" s="21" t="s">
        <v>8</v>
      </c>
      <c r="H16" s="21" t="s">
        <v>9</v>
      </c>
      <c r="I16" s="21" t="s">
        <v>10</v>
      </c>
      <c r="J16" s="21" t="s">
        <v>11</v>
      </c>
      <c r="K16" s="21" t="s">
        <v>12</v>
      </c>
      <c r="L16" s="22" t="s">
        <v>13</v>
      </c>
      <c r="M16" s="23"/>
      <c r="N16" s="24" t="s">
        <v>14</v>
      </c>
      <c r="O16" s="24" t="s">
        <v>15</v>
      </c>
      <c r="Q16" s="24" t="s">
        <v>16</v>
      </c>
    </row>
    <row r="17" spans="1:17">
      <c r="A17" s="1"/>
      <c r="B17" s="26">
        <f>+D17</f>
        <v>45876</v>
      </c>
      <c r="C17" s="27">
        <f>+$G$13</f>
        <v>8.2500000000000004E-2</v>
      </c>
      <c r="D17" s="26">
        <f>+G12</f>
        <v>45876</v>
      </c>
      <c r="E17" s="28"/>
      <c r="F17" s="29">
        <f>+G12</f>
        <v>45876</v>
      </c>
      <c r="G17" s="52">
        <f>+G11</f>
        <v>100</v>
      </c>
      <c r="H17" s="31"/>
      <c r="I17" s="30"/>
      <c r="J17" s="52"/>
      <c r="K17" s="52">
        <f t="shared" ref="K17:K19" si="0">+G17-J17</f>
        <v>100</v>
      </c>
      <c r="L17" s="32">
        <f>-G17</f>
        <v>-100</v>
      </c>
      <c r="M17" s="33"/>
      <c r="N17" s="34"/>
      <c r="O17" s="34"/>
    </row>
    <row r="18" spans="1:17">
      <c r="A18" s="1"/>
      <c r="B18" s="26">
        <f>EDATE(B17, 6)</f>
        <v>46060</v>
      </c>
      <c r="C18" s="27">
        <f t="shared" ref="C18:C19" si="1">+$G$13</f>
        <v>8.2500000000000004E-2</v>
      </c>
      <c r="D18" s="26">
        <f>B18+2</f>
        <v>46062</v>
      </c>
      <c r="E18" s="28"/>
      <c r="F18" s="35">
        <f>+D18</f>
        <v>46062</v>
      </c>
      <c r="G18" s="52">
        <f>+K17</f>
        <v>100</v>
      </c>
      <c r="H18" s="36">
        <f>+B18-B17</f>
        <v>184</v>
      </c>
      <c r="I18" s="30">
        <f>+G18*($G$13)*(H18)/365</f>
        <v>4.1589041095890407</v>
      </c>
      <c r="J18" s="52"/>
      <c r="K18" s="52">
        <f t="shared" si="0"/>
        <v>100</v>
      </c>
      <c r="L18" s="32">
        <f t="shared" ref="L18:L19" si="2">+I18+J18</f>
        <v>4.1589041095890407</v>
      </c>
      <c r="M18" s="33"/>
      <c r="N18" s="37">
        <f>+L18/(1+$L$11)^((O18)/365)</f>
        <v>3.9910879336908751</v>
      </c>
      <c r="O18" s="38">
        <f>+F18-$F$17</f>
        <v>186</v>
      </c>
      <c r="Q18" s="39">
        <f>+(N18/$N$20)*O18</f>
        <v>7.4234235429333841</v>
      </c>
    </row>
    <row r="19" spans="1:17" ht="15.75" thickBot="1">
      <c r="A19" s="1"/>
      <c r="B19" s="26">
        <f>EDATE(B18, 6)</f>
        <v>46241</v>
      </c>
      <c r="C19" s="27">
        <f t="shared" si="1"/>
        <v>8.2500000000000004E-2</v>
      </c>
      <c r="D19" s="26">
        <f>B19</f>
        <v>46241</v>
      </c>
      <c r="E19" s="28"/>
      <c r="F19" s="35">
        <f>+D19</f>
        <v>46241</v>
      </c>
      <c r="G19" s="52">
        <f t="shared" ref="G19" si="3">+K18</f>
        <v>100</v>
      </c>
      <c r="H19" s="36">
        <f>+D19-B18</f>
        <v>181</v>
      </c>
      <c r="I19" s="30">
        <f t="shared" ref="I19" si="4">+G19*($G$13)*(H19)/365</f>
        <v>4.0910958904109593</v>
      </c>
      <c r="J19" s="52">
        <f>G11</f>
        <v>100</v>
      </c>
      <c r="K19" s="52">
        <f t="shared" si="0"/>
        <v>0</v>
      </c>
      <c r="L19" s="32">
        <f t="shared" si="2"/>
        <v>104.09109589041095</v>
      </c>
      <c r="M19" s="33"/>
      <c r="N19" s="37">
        <f>+L19/(1+$L$11)^((O19)/365)</f>
        <v>96.008912251286361</v>
      </c>
      <c r="O19" s="38">
        <f t="shared" ref="O19" si="5">+F19-$F$17</f>
        <v>365</v>
      </c>
      <c r="Q19" s="39">
        <f>+(N19/$N$20)*O19</f>
        <v>350.43252906897476</v>
      </c>
    </row>
    <row r="20" spans="1:17" s="46" customFormat="1" ht="23.1" customHeight="1" thickBot="1">
      <c r="B20" s="26"/>
      <c r="E20" s="47"/>
      <c r="F20" s="111" t="s">
        <v>17</v>
      </c>
      <c r="G20" s="112"/>
      <c r="H20" s="113"/>
      <c r="I20" s="40">
        <f>SUM(I18:I19)</f>
        <v>8.25</v>
      </c>
      <c r="J20" s="53">
        <f>SUM(J18:J19)</f>
        <v>100</v>
      </c>
      <c r="K20" s="53"/>
      <c r="L20" s="41">
        <f>SUM(L17:L19)</f>
        <v>8.25</v>
      </c>
      <c r="M20" s="48"/>
      <c r="N20" s="42">
        <f>SUM(N18:N19)</f>
        <v>100.00000018497724</v>
      </c>
    </row>
    <row r="21" spans="1:17" s="46" customFormat="1" ht="21" customHeight="1">
      <c r="E21" s="47"/>
      <c r="M21" s="48"/>
    </row>
    <row r="22" spans="1:17" ht="15" customHeight="1"/>
    <row r="23" spans="1:17" ht="15" customHeight="1"/>
    <row r="24" spans="1:17" ht="15" customHeight="1">
      <c r="F24" s="114" t="s">
        <v>18</v>
      </c>
      <c r="G24" s="114"/>
      <c r="H24" s="114"/>
      <c r="I24" s="114"/>
      <c r="J24" s="114"/>
      <c r="K24" s="114"/>
      <c r="L24" s="114"/>
    </row>
    <row r="25" spans="1:17" ht="29.25" customHeight="1">
      <c r="F25" s="114"/>
      <c r="G25" s="114"/>
      <c r="H25" s="114"/>
      <c r="I25" s="114"/>
      <c r="J25" s="114"/>
      <c r="K25" s="114"/>
      <c r="L25" s="114"/>
    </row>
    <row r="26" spans="1:17" ht="15" customHeight="1"/>
    <row r="27" spans="1:17" ht="15" customHeight="1"/>
    <row r="28" spans="1:17" ht="15" customHeight="1"/>
    <row r="29" spans="1:17" ht="15" customHeight="1"/>
    <row r="30" spans="1:17" ht="15" customHeight="1"/>
    <row r="31" spans="1:17" ht="15" customHeight="1"/>
    <row r="32" spans="1:1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</sheetData>
  <sheetProtection algorithmName="SHA-512" hashValue="sCyExBlmg5AXF0vVXxlsA37GgOc87I88xz1U9eeyyudlA11w0kltZmAzUUoRl3cFKEOHQ6IshuJ0DgEbl9h9cg==" saltValue="+M+FvBXX7Jqumd94okAVbQ==" spinCount="100000" sheet="1" selectLockedCells="1"/>
  <mergeCells count="6">
    <mergeCell ref="F20:H20"/>
    <mergeCell ref="F24:L25"/>
    <mergeCell ref="J14:K14"/>
    <mergeCell ref="J11:K11"/>
    <mergeCell ref="J12:K12"/>
    <mergeCell ref="J13:K13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24E43-7896-4F5A-84C0-E7D2FFEB04C9}">
  <sheetPr>
    <pageSetUpPr fitToPage="1"/>
  </sheetPr>
  <dimension ref="A1:CU57"/>
  <sheetViews>
    <sheetView showGridLines="0" topLeftCell="E1" zoomScale="90" zoomScaleNormal="90" workbookViewId="0">
      <selection activeCell="G11" sqref="G11"/>
    </sheetView>
  </sheetViews>
  <sheetFormatPr baseColWidth="10" defaultColWidth="11.42578125" defaultRowHeight="0" customHeight="1" zeroHeight="1" outlineLevelCol="1"/>
  <cols>
    <col min="1" max="1" width="5.5703125" style="56" hidden="1" customWidth="1"/>
    <col min="2" max="2" width="39.5703125" style="56" hidden="1" customWidth="1" outlineLevel="1"/>
    <col min="3" max="3" width="21.140625" style="56" hidden="1" customWidth="1" outlineLevel="1"/>
    <col min="4" max="4" width="38" style="56" hidden="1" customWidth="1" outlineLevel="1"/>
    <col min="5" max="5" width="9.5703125" style="58" customWidth="1" outlineLevel="1"/>
    <col min="6" max="6" width="36" style="59" customWidth="1"/>
    <col min="7" max="7" width="17.140625" style="58" customWidth="1"/>
    <col min="8" max="8" width="13.7109375" style="58" bestFit="1" customWidth="1"/>
    <col min="9" max="9" width="18.140625" style="58" customWidth="1"/>
    <col min="10" max="10" width="18.5703125" style="58" bestFit="1" customWidth="1"/>
    <col min="11" max="11" width="24.7109375" style="58" customWidth="1"/>
    <col min="12" max="12" width="19.42578125" style="58" customWidth="1"/>
    <col min="13" max="13" width="19.7109375" style="57" hidden="1" customWidth="1"/>
    <col min="14" max="14" width="12.140625" style="56" hidden="1" customWidth="1" outlineLevel="1"/>
    <col min="15" max="15" width="17" style="56" hidden="1" customWidth="1" outlineLevel="1"/>
    <col min="16" max="16" width="14" style="56" hidden="1" customWidth="1" outlineLevel="1"/>
    <col min="17" max="17" width="58.42578125" style="56" hidden="1" customWidth="1" outlineLevel="1"/>
    <col min="18" max="18" width="19.7109375" style="56" customWidth="1" collapsed="1"/>
    <col min="19" max="19" width="19.7109375" style="56" customWidth="1"/>
    <col min="20" max="88" width="11.42578125" style="56" customWidth="1"/>
    <col min="89" max="90" width="11.42578125" style="56"/>
    <col min="91" max="91" width="0" style="56" hidden="1" customWidth="1" outlineLevel="1"/>
    <col min="92" max="92" width="0" style="56" hidden="1" customWidth="1" outlineLevel="1" collapsed="1"/>
    <col min="93" max="93" width="0" style="56" hidden="1" customWidth="1" outlineLevel="1"/>
    <col min="94" max="94" width="0" style="56" hidden="1" customWidth="1" outlineLevel="1" collapsed="1"/>
    <col min="95" max="95" width="0" style="56" hidden="1" customWidth="1" outlineLevel="1"/>
    <col min="96" max="97" width="0" style="56" hidden="1" customWidth="1" outlineLevel="1" collapsed="1"/>
    <col min="98" max="98" width="0" style="56" hidden="1" customWidth="1" outlineLevel="1"/>
    <col min="99" max="99" width="11.42578125" style="56" outlineLevel="1" collapsed="1"/>
    <col min="100" max="16384" width="11.42578125" style="56" outlineLevel="1"/>
  </cols>
  <sheetData>
    <row r="1" spans="2:18" ht="15" customHeight="1"/>
    <row r="2" spans="2:18" ht="15">
      <c r="E2" s="62"/>
      <c r="F2" s="63"/>
      <c r="G2" s="62"/>
      <c r="H2" s="62"/>
      <c r="I2" s="62"/>
      <c r="J2" s="62"/>
      <c r="K2" s="62"/>
      <c r="L2" s="62"/>
      <c r="M2" s="61"/>
      <c r="N2" s="60"/>
      <c r="O2" s="60"/>
      <c r="P2" s="60"/>
      <c r="Q2" s="60"/>
      <c r="R2" s="60"/>
    </row>
    <row r="3" spans="2:18" ht="15">
      <c r="E3" s="62"/>
      <c r="F3" s="63"/>
      <c r="G3" s="62"/>
      <c r="H3" s="62"/>
      <c r="I3" s="62"/>
      <c r="J3" s="62"/>
      <c r="K3" s="62"/>
      <c r="L3" s="62"/>
      <c r="M3" s="61"/>
      <c r="N3" s="60"/>
      <c r="O3" s="60"/>
      <c r="P3" s="60"/>
      <c r="Q3" s="60"/>
      <c r="R3" s="60"/>
    </row>
    <row r="4" spans="2:18" ht="15">
      <c r="E4" s="62"/>
      <c r="F4" s="63"/>
      <c r="G4" s="62"/>
      <c r="H4" s="62"/>
      <c r="I4" s="62"/>
      <c r="J4" s="62"/>
      <c r="K4" s="62"/>
      <c r="L4" s="62"/>
      <c r="M4" s="61"/>
      <c r="N4" s="60"/>
      <c r="O4" s="60"/>
      <c r="P4" s="60"/>
      <c r="Q4" s="60"/>
      <c r="R4" s="60"/>
    </row>
    <row r="5" spans="2:18" ht="15">
      <c r="E5" s="62"/>
      <c r="F5" s="63"/>
      <c r="G5" s="62"/>
      <c r="H5" s="62"/>
      <c r="I5" s="62"/>
      <c r="J5" s="62"/>
      <c r="K5" s="62"/>
      <c r="L5" s="62"/>
      <c r="M5" s="61"/>
      <c r="N5" s="60"/>
      <c r="O5" s="60"/>
      <c r="P5" s="60"/>
      <c r="Q5" s="60"/>
      <c r="R5" s="60"/>
    </row>
    <row r="6" spans="2:18" ht="15">
      <c r="E6" s="62"/>
      <c r="F6" s="110" t="s">
        <v>36</v>
      </c>
      <c r="G6" s="101"/>
      <c r="H6" s="62"/>
      <c r="I6" s="62"/>
      <c r="J6" s="62"/>
      <c r="K6" s="62"/>
      <c r="L6" s="62"/>
      <c r="M6" s="61"/>
      <c r="N6" s="60"/>
      <c r="O6" s="60"/>
      <c r="P6" s="60"/>
      <c r="Q6" s="60"/>
      <c r="R6" s="60"/>
    </row>
    <row r="7" spans="2:18" ht="15">
      <c r="E7" s="62"/>
      <c r="F7" s="110" t="s">
        <v>35</v>
      </c>
      <c r="G7" s="62"/>
      <c r="H7" s="62"/>
      <c r="I7" s="62"/>
      <c r="J7" s="62"/>
      <c r="K7" s="62"/>
      <c r="L7" s="62"/>
      <c r="M7" s="61"/>
      <c r="N7" s="60"/>
      <c r="O7" s="60"/>
      <c r="P7" s="60"/>
      <c r="Q7" s="60"/>
      <c r="R7" s="60"/>
    </row>
    <row r="8" spans="2:18" ht="15">
      <c r="E8" s="62"/>
      <c r="F8" s="63"/>
      <c r="G8" s="62"/>
      <c r="H8" s="62"/>
      <c r="I8" s="62"/>
      <c r="J8" s="62"/>
      <c r="K8" s="62"/>
      <c r="L8" s="62"/>
      <c r="M8" s="61"/>
      <c r="N8" s="60"/>
      <c r="O8" s="60"/>
      <c r="P8" s="60"/>
      <c r="Q8" s="60"/>
      <c r="R8" s="60"/>
    </row>
    <row r="9" spans="2:18" ht="15">
      <c r="E9" s="62"/>
      <c r="F9" s="104" t="s">
        <v>34</v>
      </c>
      <c r="G9" s="109">
        <v>100000</v>
      </c>
      <c r="H9" s="62"/>
      <c r="I9" s="62"/>
      <c r="J9" s="117" t="s">
        <v>1</v>
      </c>
      <c r="K9" s="117"/>
      <c r="L9" s="9">
        <f>+XIRR(L16:L20,F16:F20)</f>
        <v>0.57568201422691356</v>
      </c>
      <c r="M9" s="10"/>
      <c r="N9" s="60"/>
      <c r="O9" s="60"/>
      <c r="P9" s="60"/>
      <c r="Q9" s="60"/>
      <c r="R9" s="60"/>
    </row>
    <row r="10" spans="2:18" ht="15">
      <c r="E10" s="62"/>
      <c r="F10" s="104" t="s">
        <v>2</v>
      </c>
      <c r="G10" s="11">
        <v>45876</v>
      </c>
      <c r="H10" s="62"/>
      <c r="I10" s="62"/>
      <c r="J10" s="117" t="s">
        <v>33</v>
      </c>
      <c r="K10" s="117"/>
      <c r="L10" s="9">
        <f>+(((1+L9)^(90/365)-1)*(365/90))</f>
        <v>0.48115672634015827</v>
      </c>
      <c r="M10" s="108"/>
      <c r="N10" s="60"/>
      <c r="O10" s="60"/>
      <c r="P10" s="60"/>
      <c r="Q10" s="60"/>
      <c r="R10" s="60"/>
    </row>
    <row r="11" spans="2:18" ht="15">
      <c r="E11" s="62"/>
      <c r="F11" s="104" t="s">
        <v>32</v>
      </c>
      <c r="G11" s="107">
        <v>0.06</v>
      </c>
      <c r="H11" s="62"/>
      <c r="I11" s="62"/>
      <c r="J11" s="117" t="s">
        <v>4</v>
      </c>
      <c r="K11" s="117"/>
      <c r="L11" s="106">
        <f>+SUM(Q17:Q20)/(365/12)</f>
        <v>10.208023277526143</v>
      </c>
      <c r="M11" s="105"/>
      <c r="N11" s="60"/>
      <c r="O11" s="60"/>
      <c r="P11" s="60"/>
      <c r="Q11" s="60"/>
      <c r="R11" s="60"/>
    </row>
    <row r="12" spans="2:18" ht="15">
      <c r="E12" s="62"/>
      <c r="F12" s="104" t="s">
        <v>31</v>
      </c>
      <c r="G12" s="103">
        <v>0.421875</v>
      </c>
      <c r="H12" s="102"/>
      <c r="I12" s="101"/>
      <c r="J12" s="117" t="s">
        <v>5</v>
      </c>
      <c r="K12" s="117"/>
      <c r="L12" s="9">
        <f>+N28/G16</f>
        <v>1.0000000008324592</v>
      </c>
      <c r="M12" s="98"/>
      <c r="N12" s="96"/>
      <c r="O12" s="60"/>
      <c r="P12" s="60"/>
      <c r="Q12" s="60"/>
      <c r="R12" s="60"/>
    </row>
    <row r="13" spans="2:18" ht="15">
      <c r="E13" s="102"/>
      <c r="F13" s="102"/>
      <c r="G13" s="102"/>
      <c r="H13" s="102"/>
      <c r="I13" s="101"/>
      <c r="J13" s="100"/>
      <c r="K13" s="100"/>
      <c r="L13" s="99"/>
      <c r="M13" s="98"/>
      <c r="N13" s="96"/>
      <c r="O13" s="60"/>
      <c r="P13" s="60"/>
      <c r="Q13" s="60"/>
      <c r="R13" s="60"/>
    </row>
    <row r="14" spans="2:18" ht="15.75" thickBot="1">
      <c r="E14" s="62"/>
      <c r="F14" s="63"/>
      <c r="G14" s="62"/>
      <c r="H14" s="62"/>
      <c r="I14" s="62"/>
      <c r="J14" s="62"/>
      <c r="K14" s="62"/>
      <c r="L14" s="62"/>
      <c r="M14" s="97"/>
      <c r="N14" s="96"/>
      <c r="O14" s="60"/>
      <c r="P14" s="60"/>
      <c r="Q14" s="60"/>
      <c r="R14" s="60"/>
    </row>
    <row r="15" spans="2:18" s="89" customFormat="1" ht="28.5" customHeight="1" thickBot="1">
      <c r="B15" s="95" t="s">
        <v>30</v>
      </c>
      <c r="C15" s="95" t="s">
        <v>6</v>
      </c>
      <c r="D15" s="95" t="s">
        <v>29</v>
      </c>
      <c r="E15" s="94"/>
      <c r="F15" s="21" t="s">
        <v>7</v>
      </c>
      <c r="G15" s="54" t="s">
        <v>28</v>
      </c>
      <c r="H15" s="54" t="s">
        <v>9</v>
      </c>
      <c r="I15" s="54" t="s">
        <v>27</v>
      </c>
      <c r="J15" s="54" t="s">
        <v>26</v>
      </c>
      <c r="K15" s="54" t="s">
        <v>25</v>
      </c>
      <c r="L15" s="55" t="s">
        <v>24</v>
      </c>
      <c r="M15" s="93"/>
      <c r="N15" s="91" t="s">
        <v>14</v>
      </c>
      <c r="O15" s="91" t="s">
        <v>15</v>
      </c>
      <c r="P15" s="92"/>
      <c r="Q15" s="91" t="s">
        <v>16</v>
      </c>
      <c r="R15" s="90"/>
    </row>
    <row r="16" spans="2:18" ht="15">
      <c r="B16" s="84">
        <f>+D16</f>
        <v>45876</v>
      </c>
      <c r="C16" s="85">
        <f>+$G$11+$G$12</f>
        <v>0.481875</v>
      </c>
      <c r="D16" s="84">
        <f>+G10</f>
        <v>45876</v>
      </c>
      <c r="E16" s="82"/>
      <c r="F16" s="88">
        <f>+G10</f>
        <v>45876</v>
      </c>
      <c r="G16" s="78">
        <f>+G9</f>
        <v>100000</v>
      </c>
      <c r="H16" s="87"/>
      <c r="I16" s="79"/>
      <c r="J16" s="79"/>
      <c r="K16" s="78">
        <f>+G16-J16</f>
        <v>100000</v>
      </c>
      <c r="L16" s="77">
        <f>-G16</f>
        <v>-100000</v>
      </c>
      <c r="M16" s="76"/>
      <c r="N16" s="86"/>
      <c r="O16" s="86"/>
      <c r="P16" s="64"/>
      <c r="Q16" s="64"/>
      <c r="R16" s="60"/>
    </row>
    <row r="17" spans="2:18" ht="15">
      <c r="B17" s="84">
        <f>+EDATE(B16,3)</f>
        <v>45968</v>
      </c>
      <c r="C17" s="85">
        <f>+$G$11+$G$12</f>
        <v>0.481875</v>
      </c>
      <c r="D17" s="83">
        <f>+B17</f>
        <v>45968</v>
      </c>
      <c r="E17" s="82"/>
      <c r="F17" s="81">
        <f>+D17</f>
        <v>45968</v>
      </c>
      <c r="G17" s="78">
        <f>+K16</f>
        <v>100000</v>
      </c>
      <c r="H17" s="80">
        <f>+B17-B16</f>
        <v>92</v>
      </c>
      <c r="I17" s="79">
        <f>+G17*($G$11+$G$12)*(H17)/365</f>
        <v>12145.890410958904</v>
      </c>
      <c r="J17" s="79">
        <v>0</v>
      </c>
      <c r="K17" s="78">
        <f>+G17-J17</f>
        <v>100000</v>
      </c>
      <c r="L17" s="77">
        <f>+I17+J17</f>
        <v>12145.890410958904</v>
      </c>
      <c r="M17" s="76"/>
      <c r="N17" s="75">
        <f>+L17/(1+$L$9)^((O17)/365)</f>
        <v>10830.698255182182</v>
      </c>
      <c r="O17" s="74">
        <f>+F17-$F$16</f>
        <v>92</v>
      </c>
      <c r="P17" s="64"/>
      <c r="Q17" s="73">
        <f>+(N17/$N$28)*O17</f>
        <v>9.9642423864727832</v>
      </c>
      <c r="R17" s="60"/>
    </row>
    <row r="18" spans="2:18" ht="15">
      <c r="B18" s="84">
        <f>+EDATE(B17,3)</f>
        <v>46060</v>
      </c>
      <c r="C18" s="85">
        <f>+$G$11+$G$12</f>
        <v>0.481875</v>
      </c>
      <c r="D18" s="83">
        <f>+B18+2</f>
        <v>46062</v>
      </c>
      <c r="E18" s="82"/>
      <c r="F18" s="81">
        <f>+D18</f>
        <v>46062</v>
      </c>
      <c r="G18" s="78">
        <f>+K17</f>
        <v>100000</v>
      </c>
      <c r="H18" s="80">
        <f>+B18-B17</f>
        <v>92</v>
      </c>
      <c r="I18" s="79">
        <f>+G18*($G$11+$G$12)*(H18)/365</f>
        <v>12145.890410958904</v>
      </c>
      <c r="J18" s="79">
        <v>0</v>
      </c>
      <c r="K18" s="78">
        <f>+G18-J18</f>
        <v>100000</v>
      </c>
      <c r="L18" s="77">
        <f>+I18+J18</f>
        <v>12145.890410958904</v>
      </c>
      <c r="M18" s="76"/>
      <c r="N18" s="75">
        <f>+L18/(1+$L$9)^((O18)/365)</f>
        <v>9633.886714321774</v>
      </c>
      <c r="O18" s="74">
        <f>+F18-$F$16</f>
        <v>186</v>
      </c>
      <c r="P18" s="64"/>
      <c r="Q18" s="73">
        <f>+(N18/$N$28)*O18</f>
        <v>17.919029273721641</v>
      </c>
      <c r="R18" s="60"/>
    </row>
    <row r="19" spans="2:18" ht="15">
      <c r="B19" s="84">
        <f>+EDATE(B18,3)</f>
        <v>46149</v>
      </c>
      <c r="C19" s="85">
        <f>+$G$11+$G$12</f>
        <v>0.481875</v>
      </c>
      <c r="D19" s="83">
        <f>+B19</f>
        <v>46149</v>
      </c>
      <c r="E19" s="82"/>
      <c r="F19" s="81">
        <f>+D19</f>
        <v>46149</v>
      </c>
      <c r="G19" s="78">
        <f>+K18</f>
        <v>100000</v>
      </c>
      <c r="H19" s="80">
        <f>+B19-B18</f>
        <v>89</v>
      </c>
      <c r="I19" s="79">
        <f>+G19*($G$11+$G$12)*(H19)/365</f>
        <v>11749.828767123288</v>
      </c>
      <c r="J19" s="79">
        <v>0</v>
      </c>
      <c r="K19" s="78">
        <f>+G19-J19</f>
        <v>100000</v>
      </c>
      <c r="L19" s="77">
        <f>+I19+J19</f>
        <v>11749.828767123288</v>
      </c>
      <c r="M19" s="76"/>
      <c r="N19" s="75">
        <f>+L19/(1+$L$9)^((O19)/365)</f>
        <v>8362.4948173954035</v>
      </c>
      <c r="O19" s="74">
        <f>+F19-$F$16</f>
        <v>273</v>
      </c>
      <c r="P19" s="64"/>
      <c r="Q19" s="73">
        <f>+(N19/$N$28)*O19</f>
        <v>22.829610832484732</v>
      </c>
      <c r="R19" s="60"/>
    </row>
    <row r="20" spans="2:18" ht="15.75" thickBot="1">
      <c r="B20" s="84">
        <f>+EDATE(B19,3)</f>
        <v>46241</v>
      </c>
      <c r="C20" s="85">
        <f>+$G$11+$G$12</f>
        <v>0.481875</v>
      </c>
      <c r="D20" s="83">
        <f>+B20</f>
        <v>46241</v>
      </c>
      <c r="E20" s="82"/>
      <c r="F20" s="81">
        <f>+D20</f>
        <v>46241</v>
      </c>
      <c r="G20" s="78">
        <f>+K19</f>
        <v>100000</v>
      </c>
      <c r="H20" s="80">
        <f>+D20-B19</f>
        <v>92</v>
      </c>
      <c r="I20" s="79">
        <f>+G20*($G$11+$G$12)*(H20)/365</f>
        <v>12145.890410958904</v>
      </c>
      <c r="J20" s="79">
        <f>+$G$9</f>
        <v>100000</v>
      </c>
      <c r="K20" s="78">
        <f>+G20-J20</f>
        <v>0</v>
      </c>
      <c r="L20" s="77">
        <f>+I20+J20</f>
        <v>112145.89041095891</v>
      </c>
      <c r="M20" s="76"/>
      <c r="N20" s="75">
        <f>+L20/(1+$L$9)^((O20)/365)</f>
        <v>71172.92029634655</v>
      </c>
      <c r="O20" s="74">
        <f>+F20-$F$16</f>
        <v>365</v>
      </c>
      <c r="P20" s="64"/>
      <c r="Q20" s="73">
        <f>+(N20/$N$28)*O20</f>
        <v>259.78115886540769</v>
      </c>
      <c r="R20" s="60"/>
    </row>
    <row r="21" spans="2:18" ht="15.75" hidden="1" thickBot="1">
      <c r="B21" s="84"/>
      <c r="C21" s="72"/>
      <c r="D21" s="83"/>
      <c r="E21" s="82"/>
      <c r="F21" s="81"/>
      <c r="G21" s="78"/>
      <c r="H21" s="80"/>
      <c r="I21" s="79"/>
      <c r="J21" s="79"/>
      <c r="K21" s="78"/>
      <c r="L21" s="77"/>
      <c r="M21" s="76"/>
      <c r="N21" s="75"/>
      <c r="O21" s="74"/>
      <c r="P21" s="64"/>
      <c r="Q21" s="73"/>
      <c r="R21" s="60"/>
    </row>
    <row r="22" spans="2:18" ht="15.75" hidden="1" thickBot="1">
      <c r="B22" s="84"/>
      <c r="C22" s="72"/>
      <c r="D22" s="83"/>
      <c r="E22" s="82"/>
      <c r="F22" s="81"/>
      <c r="G22" s="78"/>
      <c r="H22" s="80"/>
      <c r="I22" s="79"/>
      <c r="J22" s="79"/>
      <c r="K22" s="78"/>
      <c r="L22" s="77"/>
      <c r="M22" s="76"/>
      <c r="N22" s="75"/>
      <c r="O22" s="74"/>
      <c r="P22" s="64"/>
      <c r="Q22" s="73"/>
      <c r="R22" s="60"/>
    </row>
    <row r="23" spans="2:18" ht="15.75" hidden="1" thickBot="1">
      <c r="B23" s="84"/>
      <c r="C23" s="72"/>
      <c r="D23" s="83"/>
      <c r="E23" s="82"/>
      <c r="F23" s="81"/>
      <c r="G23" s="78"/>
      <c r="H23" s="80"/>
      <c r="I23" s="79"/>
      <c r="J23" s="79"/>
      <c r="K23" s="78"/>
      <c r="L23" s="77"/>
      <c r="M23" s="76"/>
      <c r="N23" s="75"/>
      <c r="O23" s="74"/>
      <c r="P23" s="64"/>
      <c r="Q23" s="73"/>
      <c r="R23" s="60"/>
    </row>
    <row r="24" spans="2:18" ht="15.75" hidden="1" thickBot="1">
      <c r="B24" s="84"/>
      <c r="C24" s="72"/>
      <c r="D24" s="83"/>
      <c r="E24" s="82"/>
      <c r="F24" s="81"/>
      <c r="G24" s="78"/>
      <c r="H24" s="80"/>
      <c r="I24" s="79"/>
      <c r="J24" s="79"/>
      <c r="K24" s="78"/>
      <c r="L24" s="77"/>
      <c r="M24" s="76"/>
      <c r="N24" s="75"/>
      <c r="O24" s="74"/>
      <c r="P24" s="64"/>
      <c r="Q24" s="73"/>
      <c r="R24" s="60"/>
    </row>
    <row r="25" spans="2:18" ht="15.75" hidden="1" thickBot="1">
      <c r="B25" s="84"/>
      <c r="C25" s="72"/>
      <c r="D25" s="83"/>
      <c r="E25" s="82"/>
      <c r="F25" s="81"/>
      <c r="G25" s="78"/>
      <c r="H25" s="80"/>
      <c r="I25" s="79"/>
      <c r="J25" s="78"/>
      <c r="K25" s="78"/>
      <c r="L25" s="77"/>
      <c r="M25" s="76"/>
      <c r="N25" s="75"/>
      <c r="O25" s="74"/>
      <c r="P25" s="64"/>
      <c r="Q25" s="73"/>
      <c r="R25" s="60"/>
    </row>
    <row r="26" spans="2:18" ht="15.75" hidden="1" thickBot="1">
      <c r="B26" s="84"/>
      <c r="C26" s="72"/>
      <c r="D26" s="83"/>
      <c r="E26" s="82"/>
      <c r="F26" s="81"/>
      <c r="G26" s="78"/>
      <c r="H26" s="80"/>
      <c r="I26" s="79"/>
      <c r="J26" s="78"/>
      <c r="K26" s="78"/>
      <c r="L26" s="77"/>
      <c r="M26" s="76"/>
      <c r="N26" s="75"/>
      <c r="O26" s="74"/>
      <c r="P26" s="64"/>
      <c r="Q26" s="73"/>
      <c r="R26" s="60"/>
    </row>
    <row r="27" spans="2:18" ht="15.75" hidden="1" thickBot="1">
      <c r="B27" s="84"/>
      <c r="C27" s="72"/>
      <c r="D27" s="83"/>
      <c r="E27" s="82"/>
      <c r="F27" s="81"/>
      <c r="G27" s="78"/>
      <c r="H27" s="80"/>
      <c r="I27" s="79"/>
      <c r="J27" s="78"/>
      <c r="K27" s="78"/>
      <c r="L27" s="77"/>
      <c r="M27" s="76"/>
      <c r="N27" s="75"/>
      <c r="O27" s="74"/>
      <c r="P27" s="64"/>
      <c r="Q27" s="73"/>
      <c r="R27" s="60"/>
    </row>
    <row r="28" spans="2:18" ht="15.75" thickBot="1">
      <c r="B28" s="71"/>
      <c r="C28" s="72"/>
      <c r="D28" s="71"/>
      <c r="E28" s="62"/>
      <c r="F28" s="111" t="s">
        <v>17</v>
      </c>
      <c r="G28" s="112"/>
      <c r="H28" s="112"/>
      <c r="I28" s="69">
        <f>SUM(I17:I24)</f>
        <v>48187.5</v>
      </c>
      <c r="J28" s="70">
        <f>SUM(J17:J24)</f>
        <v>100000</v>
      </c>
      <c r="K28" s="69"/>
      <c r="L28" s="68">
        <f>SUM(L16:L24)</f>
        <v>48187.500000000007</v>
      </c>
      <c r="M28" s="67"/>
      <c r="N28" s="66">
        <f>SUM(N17:N24)</f>
        <v>100000.00008324592</v>
      </c>
      <c r="O28" s="64"/>
      <c r="P28" s="64"/>
      <c r="Q28" s="64"/>
      <c r="R28" s="60"/>
    </row>
    <row r="29" spans="2:18" ht="15">
      <c r="E29" s="62"/>
      <c r="F29" s="63"/>
      <c r="G29" s="62"/>
      <c r="H29" s="62"/>
      <c r="I29" s="62"/>
      <c r="J29" s="62"/>
      <c r="K29" s="62"/>
      <c r="L29" s="62"/>
      <c r="M29" s="61"/>
      <c r="N29" s="60"/>
      <c r="O29" s="60"/>
      <c r="P29" s="60"/>
      <c r="Q29" s="60"/>
      <c r="R29" s="60"/>
    </row>
    <row r="30" spans="2:18" ht="15">
      <c r="E30" s="62"/>
      <c r="F30" s="62"/>
      <c r="G30" s="62"/>
      <c r="H30" s="62"/>
      <c r="I30" s="62"/>
      <c r="J30" s="62"/>
      <c r="K30" s="62"/>
      <c r="L30" s="62"/>
      <c r="M30" s="61"/>
      <c r="N30" s="60"/>
      <c r="O30" s="60"/>
      <c r="P30" s="60"/>
      <c r="Q30" s="60"/>
      <c r="R30" s="60"/>
    </row>
    <row r="31" spans="2:18" s="64" customFormat="1" ht="26.25" customHeight="1">
      <c r="E31" s="65"/>
      <c r="F31" s="116" t="s">
        <v>23</v>
      </c>
      <c r="G31" s="116"/>
      <c r="H31" s="116"/>
      <c r="I31" s="116"/>
      <c r="J31" s="116"/>
      <c r="K31" s="116"/>
      <c r="L31" s="116"/>
    </row>
    <row r="32" spans="2:18" s="64" customFormat="1" ht="26.25" customHeight="1">
      <c r="E32" s="65"/>
      <c r="F32" s="116"/>
      <c r="G32" s="116"/>
      <c r="H32" s="116"/>
      <c r="I32" s="116"/>
      <c r="J32" s="116"/>
      <c r="K32" s="116"/>
      <c r="L32" s="116"/>
    </row>
    <row r="33" spans="5:18" ht="15">
      <c r="E33" s="62"/>
      <c r="F33" s="63"/>
      <c r="G33" s="62"/>
      <c r="H33" s="62"/>
      <c r="I33" s="62"/>
      <c r="J33" s="62"/>
      <c r="K33" s="62"/>
      <c r="L33" s="62"/>
      <c r="M33" s="61"/>
      <c r="N33" s="60"/>
      <c r="O33" s="60"/>
      <c r="P33" s="60"/>
      <c r="Q33" s="60"/>
      <c r="R33" s="60"/>
    </row>
    <row r="34" spans="5:18" ht="15">
      <c r="E34" s="62"/>
      <c r="F34" s="63"/>
      <c r="G34" s="62"/>
      <c r="H34" s="62"/>
      <c r="I34" s="62"/>
      <c r="J34" s="62"/>
      <c r="K34" s="62"/>
      <c r="L34" s="62"/>
      <c r="M34" s="61"/>
      <c r="N34" s="60"/>
      <c r="O34" s="60"/>
      <c r="P34" s="60"/>
      <c r="Q34" s="60"/>
      <c r="R34" s="60"/>
    </row>
    <row r="35" spans="5:18" ht="15">
      <c r="E35" s="62"/>
      <c r="F35" s="63"/>
      <c r="G35" s="62"/>
      <c r="H35" s="62"/>
      <c r="I35" s="62"/>
      <c r="J35" s="62"/>
      <c r="K35" s="62"/>
      <c r="L35" s="62"/>
      <c r="M35" s="61"/>
      <c r="N35" s="60"/>
      <c r="O35" s="60"/>
      <c r="P35" s="60"/>
      <c r="Q35" s="60"/>
      <c r="R35" s="60"/>
    </row>
    <row r="36" spans="5:18" ht="15">
      <c r="E36" s="62"/>
      <c r="F36" s="63"/>
      <c r="G36" s="62"/>
      <c r="H36" s="62"/>
      <c r="I36" s="62"/>
      <c r="J36" s="62"/>
      <c r="K36" s="62"/>
      <c r="L36" s="62"/>
      <c r="M36" s="61"/>
      <c r="N36" s="60"/>
      <c r="O36" s="60"/>
      <c r="P36" s="60"/>
      <c r="Q36" s="60"/>
      <c r="R36" s="60"/>
    </row>
    <row r="37" spans="5:18" ht="15">
      <c r="E37" s="62"/>
      <c r="F37" s="63"/>
      <c r="G37" s="62"/>
      <c r="H37" s="62"/>
      <c r="I37" s="62"/>
      <c r="J37" s="62"/>
      <c r="K37" s="62"/>
      <c r="L37" s="62"/>
      <c r="M37" s="61"/>
      <c r="N37" s="60"/>
      <c r="O37" s="60"/>
      <c r="P37" s="60"/>
      <c r="Q37" s="60"/>
      <c r="R37" s="60"/>
    </row>
    <row r="38" spans="5:18" ht="15">
      <c r="E38" s="62"/>
      <c r="F38" s="63"/>
      <c r="G38" s="62"/>
      <c r="H38" s="62"/>
      <c r="I38" s="62"/>
      <c r="J38" s="62"/>
      <c r="K38" s="62"/>
      <c r="L38" s="62"/>
      <c r="M38" s="61"/>
      <c r="N38" s="60"/>
      <c r="O38" s="60"/>
      <c r="P38" s="60"/>
      <c r="Q38" s="60"/>
      <c r="R38" s="60"/>
    </row>
    <row r="39" spans="5:18" ht="15">
      <c r="E39" s="62"/>
      <c r="F39" s="63"/>
      <c r="G39" s="62"/>
      <c r="H39" s="62"/>
      <c r="I39" s="62"/>
      <c r="J39" s="62"/>
      <c r="K39" s="62"/>
      <c r="L39" s="62"/>
      <c r="M39" s="61"/>
      <c r="N39" s="60"/>
      <c r="O39" s="60"/>
      <c r="P39" s="60"/>
      <c r="Q39" s="60"/>
      <c r="R39" s="60"/>
    </row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</sheetData>
  <sheetProtection algorithmName="SHA-512" hashValue="YCQDcePd9vqs8mQOEOW11yM5ScT71/WEVCom6VuCSdJZaxppQ0kFdLe6m0wHdZP707ifV2ANwCarB6kGPkXTjA==" saltValue="bm4lNRqCKw74yLiBEYR3XA==" spinCount="100000" sheet="1" selectLockedCells="1"/>
  <mergeCells count="6">
    <mergeCell ref="F31:L32"/>
    <mergeCell ref="J9:K9"/>
    <mergeCell ref="J10:K10"/>
    <mergeCell ref="J11:K11"/>
    <mergeCell ref="J12:K12"/>
    <mergeCell ref="F28:H28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ON Clase 8</vt:lpstr>
      <vt:lpstr>ON Clase 9</vt:lpstr>
      <vt:lpstr>'ON Clase 8'!Área_de_impresión</vt:lpstr>
      <vt:lpstr>'ON Clase 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Allaria Office</cp:lastModifiedBy>
  <dcterms:created xsi:type="dcterms:W3CDTF">2021-09-15T11:57:40Z</dcterms:created>
  <dcterms:modified xsi:type="dcterms:W3CDTF">2025-08-06T14:35:41Z</dcterms:modified>
</cp:coreProperties>
</file>