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ampa Energía\Clase 25\"/>
    </mc:Choice>
  </mc:AlternateContent>
  <xr:revisionPtr revIDLastSave="0" documentId="13_ncr:1_{004F6A1F-2EBD-4EF6-801C-7716B2DEF917}" xr6:coauthVersionLast="47" xr6:coauthVersionMax="47" xr10:uidLastSave="{00000000-0000-0000-0000-000000000000}"/>
  <bookViews>
    <workbookView xWindow="28680" yWindow="-120" windowWidth="29040" windowHeight="15840" xr2:uid="{5A7869C8-6724-4931-8FBD-F406316EB44F}"/>
  </bookViews>
  <sheets>
    <sheet name="ON Clase 25" sheetId="1" r:id="rId1"/>
  </sheets>
  <definedNames>
    <definedName name="_xlnm.Print_Area" localSheetId="0">'ON Clase 25'!$A$9:$P$20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J23" i="1" l="1"/>
  <c r="D17" i="1"/>
  <c r="C22" i="1"/>
  <c r="C23" i="1"/>
  <c r="F17" i="1" l="1"/>
  <c r="G17" i="1"/>
  <c r="J24" i="1"/>
  <c r="B17" i="1" l="1"/>
  <c r="C21" i="1"/>
  <c r="C20" i="1"/>
  <c r="C19" i="1"/>
  <c r="C18" i="1"/>
  <c r="C17" i="1"/>
  <c r="B18" i="1" l="1"/>
  <c r="K17" i="1"/>
  <c r="L17" i="1"/>
  <c r="D18" i="1" l="1"/>
  <c r="F18" i="1" s="1"/>
  <c r="O18" i="1" s="1"/>
  <c r="H18" i="1"/>
  <c r="B19" i="1"/>
  <c r="G18" i="1"/>
  <c r="K18" i="1" s="1"/>
  <c r="D19" i="1" l="1"/>
  <c r="F19" i="1" s="1"/>
  <c r="O19" i="1" s="1"/>
  <c r="H19" i="1"/>
  <c r="I18" i="1"/>
  <c r="B20" i="1"/>
  <c r="H20" i="1" s="1"/>
  <c r="L18" i="1"/>
  <c r="G19" i="1"/>
  <c r="K19" i="1" l="1"/>
  <c r="I19" i="1"/>
  <c r="L19" i="1" s="1"/>
  <c r="D20" i="1"/>
  <c r="F20" i="1"/>
  <c r="O20" i="1" s="1"/>
  <c r="B21" i="1"/>
  <c r="H21" i="1" s="1"/>
  <c r="D21" i="1" l="1"/>
  <c r="B22" i="1"/>
  <c r="H22" i="1" s="1"/>
  <c r="G20" i="1"/>
  <c r="F21" i="1"/>
  <c r="O21" i="1" s="1"/>
  <c r="K20" i="1" l="1"/>
  <c r="G21" i="1" s="1"/>
  <c r="I20" i="1"/>
  <c r="B23" i="1"/>
  <c r="D23" i="1" s="1"/>
  <c r="D22" i="1"/>
  <c r="F22" i="1" s="1"/>
  <c r="O22" i="1" s="1"/>
  <c r="F23" i="1" l="1"/>
  <c r="O23" i="1" s="1"/>
  <c r="L20" i="1"/>
  <c r="K21" i="1"/>
  <c r="I21" i="1"/>
  <c r="L21" i="1" s="1"/>
  <c r="G22" i="1"/>
  <c r="I22" i="1" l="1"/>
  <c r="K22" i="1"/>
  <c r="G23" i="1" s="1"/>
  <c r="L22" i="1" l="1"/>
  <c r="K23" i="1"/>
  <c r="I23" i="1"/>
  <c r="I24" i="1" s="1"/>
  <c r="L23" i="1" l="1"/>
  <c r="L24" i="1" s="1"/>
  <c r="L11" i="1" l="1"/>
  <c r="N18" i="1" s="1"/>
  <c r="N19" i="1" l="1"/>
  <c r="N22" i="1"/>
  <c r="N20" i="1"/>
  <c r="N21" i="1"/>
  <c r="L12" i="1"/>
  <c r="N23" i="1"/>
  <c r="N24" i="1" l="1"/>
  <c r="Q22" i="1" s="1"/>
  <c r="Q20" i="1"/>
  <c r="Q23" i="1"/>
  <c r="Q21" i="1"/>
  <c r="Q19" i="1"/>
  <c r="G14" i="1"/>
  <c r="Q18" i="1" l="1"/>
  <c r="L14" i="1" s="1"/>
  <c r="L13" i="1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<sst xmlns="http://schemas.openxmlformats.org/spreadsheetml/2006/main" count="23" uniqueCount="23">
  <si>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</si>
  <si>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</si>
  <si>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</si>
  <si>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</si>
  <si>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</si>
  <si>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</si>
  <si>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</si>
  <si>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</si>
  <si>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</si>
  <si>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</si>
  <si>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</si>
  <si>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</si>
  <si>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</si>
  <si>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</si>
  <si>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</si>
  <si>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</si>
  <si>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</si>
  <si>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</si>
  <si>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Precio que ha tenido a su disposición.
</t>
  </si>
  <si>
    <t>Duration (años)</t>
  </si>
  <si>
    <t>TNA (180 d)</t>
  </si>
  <si>
    <t>ON Pampa Energía S.A. Clase 25</t>
  </si>
  <si>
    <t>Dólar Cable - 36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</si>
</sst>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5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0" fontId="14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164" fontId="6" fillId="3" borderId="3" xfId="0" applyNumberFormat="1" applyFont="1" applyFill="1" applyBorder="1" applyAlignment="1" applyProtection="1">
      <alignment vertical="center"/>
      <protection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</cellXfs>
  <cellStyles count="10">
    <cellStyle name="Millares" xfId="1" builtinId="3"/>
    <cellStyle name="Millares 2" xfId="8" xr:uid="{1DDE9FC5-E73F-4907-9B65-19EB14F01754}"/>
    <cellStyle name="Moneda" xfId="2" builtinId="4"/>
    <cellStyle name="Moneda 2" xfId="9" xr:uid="{560B4BAA-BB97-4FDF-A998-EFEFA184E543}"/>
    <cellStyle name="Normal" xfId="0" builtinId="0"/>
    <cellStyle name="Normal 2" xfId="4" xr:uid="{EBC8AC57-EE1D-40F8-A643-B7F21F4937FD}"/>
    <cellStyle name="Normal 3" xfId="6" xr:uid="{5D768737-B89B-4158-BA02-EEA358076A1B}"/>
    <cellStyle name="Normal 4" xfId="7" xr:uid="{15A321D8-4C4C-4208-9918-C4BAE3DF12A9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1100666</xdr:colOff>
      <xdr:row>4</xdr:row>
      <xdr:rowOff>78493</xdr:rowOff>
    </xdr:from>
    <xdr:to>
      <xdr:col>11</xdr:col>
      <xdr:colOff>1037870</xdr:colOff>
      <xdr:row>7</xdr:row>
      <xdr:rowOff>6173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FBF603-5DCC-4C92-B0E5-EEAA6FAB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7322" y="840493"/>
          <a:ext cx="1330235" cy="49918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952501</xdr:colOff>
      <xdr:row>3</xdr:row>
      <xdr:rowOff>166688</xdr:rowOff>
    </xdr:from>
    <xdr:to>
      <xdr:col>5</xdr:col>
      <xdr:colOff>1957678</xdr:colOff>
      <xdr:row>6</xdr:row>
      <xdr:rowOff>147715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3F8D55-8DA1-48CF-9422-440C3EFF0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8657" y="738188"/>
          <a:ext cx="2076740" cy="552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D177-8F1A-4E1E-A344-B8498CD4B6AA}">
  <sheetPr>
    <pageSetUpPr fitToPage="1"/>
  </sheetPr>
  <dimension ref="A1:Q72"/>
  <sheetViews>
    <sheetView showGridLines="0" tabSelected="1" topLeftCell="E1" zoomScale="90" zoomScaleNormal="90" workbookViewId="0">
      <selection activeCell="G11" sqref="G11"/>
    </sheetView>
  </sheetViews>
  <sheetFormatPr baseColWidth="10" defaultColWidth="0" defaultRowHeight="15" customHeight="1" zeroHeight="1"/>
  <cols>
    <col min="1" max="1" width="18.7109375" style="5" hidden="1" customWidth="1"/>
    <col min="2" max="2" width="34.85546875" style="5" hidden="1" customWidth="1"/>
    <col min="3" max="3" width="21.85546875" style="5" hidden="1" customWidth="1"/>
    <col min="4" max="4" width="34.85546875" style="5" hidden="1" customWidth="1"/>
    <col min="5" max="5" width="16" style="43" customWidth="1"/>
    <col min="6" max="6" width="34.7109375" style="44" customWidth="1"/>
    <col min="7" max="7" width="16.7109375" style="43" bestFit="1" customWidth="1"/>
    <col min="8" max="8" width="13.42578125" style="43" bestFit="1" customWidth="1"/>
    <col min="9" max="9" width="14.85546875" style="43" bestFit="1" customWidth="1"/>
    <col min="10" max="10" width="21.42578125" style="43" bestFit="1" customWidth="1"/>
    <col min="11" max="11" width="20.85546875" style="43" bestFit="1" customWidth="1"/>
    <col min="12" max="12" width="18.140625" style="43" customWidth="1"/>
    <col min="13" max="13" width="19.85546875" style="45" customWidth="1"/>
    <col min="14" max="14" width="12" style="5" hidden="1" customWidth="1"/>
    <col min="15" max="15" width="13.7109375" style="5" hidden="1" customWidth="1"/>
    <col min="16" max="16" width="12.28515625" style="5" hidden="1" customWidth="1"/>
    <col min="17" max="17" width="20.7109375" style="5" hidden="1" customWidth="1"/>
    <col min="18" max="16379" width="9.140625" style="5" customWidth="1"/>
    <col min="16380" max="16380" width="11" style="5" customWidth="1"/>
    <col min="16381" max="16381" width="28.85546875" style="5" customWidth="1"/>
    <col min="16382" max="16382" width="18.42578125" style="5" customWidth="1"/>
    <col min="16383" max="16383" width="21.140625" style="5" customWidth="1"/>
    <col min="16384" max="16384" width="20.5703125" style="5" customWidth="1"/>
  </cols>
  <sheetData>
    <row r="1" spans="1:17" ht="15" customHeight="1"/>
    <row r="2" spans="1:17" ht="15" customHeight="1"/>
    <row r="3" spans="1:17" ht="15" customHeight="1"/>
    <row r="4" spans="1:17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7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6" t="s">
        <v>21</v>
      </c>
      <c r="G8" s="6"/>
      <c r="H8" s="6"/>
      <c r="I8" s="6"/>
      <c r="J8" s="2"/>
      <c r="K8" s="2"/>
      <c r="L8" s="2"/>
      <c r="M8" s="4"/>
    </row>
    <row r="9" spans="1:17">
      <c r="A9" s="1"/>
      <c r="B9" s="1"/>
      <c r="C9" s="1"/>
      <c r="D9" s="1"/>
      <c r="E9" s="2"/>
      <c r="F9" s="6" t="s">
        <v>22</v>
      </c>
      <c r="G9" s="2"/>
      <c r="H9" s="2"/>
      <c r="I9" s="2"/>
      <c r="J9" s="2"/>
      <c r="K9" s="2"/>
      <c r="L9" s="2"/>
      <c r="M9" s="4"/>
    </row>
    <row r="10" spans="1:17">
      <c r="A10" s="1"/>
      <c r="B10" s="1"/>
      <c r="C10" s="1"/>
      <c r="D10" s="1"/>
      <c r="E10" s="2"/>
      <c r="F10" s="3"/>
      <c r="G10" s="2"/>
      <c r="H10" s="2"/>
      <c r="I10" s="2"/>
      <c r="J10" s="2"/>
      <c r="K10" s="2"/>
      <c r="L10" s="2"/>
      <c r="M10" s="4"/>
    </row>
    <row r="11" spans="1:17">
      <c r="A11" s="1"/>
      <c r="B11" s="1"/>
      <c r="C11" s="1"/>
      <c r="D11" s="1"/>
      <c r="E11" s="2"/>
      <c r="F11" s="7" t="s">
        <v>0</v>
      </c>
      <c r="G11" s="8">
        <v>100</v>
      </c>
      <c r="H11" s="2"/>
      <c r="I11" s="2"/>
      <c r="J11" s="58" t="s">
        <v>1</v>
      </c>
      <c r="K11" s="58"/>
      <c r="L11" s="9">
        <f>+XIRR(L17:L23,F17:F23)</f>
        <v>7.3804226517677332E-2</v>
      </c>
      <c r="M11" s="10"/>
    </row>
    <row r="12" spans="1:17">
      <c r="A12" s="1"/>
      <c r="B12" s="1"/>
      <c r="C12" s="1"/>
      <c r="D12" s="1"/>
      <c r="E12" s="2"/>
      <c r="F12" s="7" t="s">
        <v>2</v>
      </c>
      <c r="G12" s="11">
        <v>45875</v>
      </c>
      <c r="H12" s="2"/>
      <c r="I12" s="2"/>
      <c r="J12" s="58" t="s">
        <v>20</v>
      </c>
      <c r="K12" s="58"/>
      <c r="L12" s="9">
        <f>+NOMINAL(L11,2)</f>
        <v>7.2490508077349247E-2</v>
      </c>
      <c r="M12" s="12"/>
    </row>
    <row r="13" spans="1:17">
      <c r="A13" s="1"/>
      <c r="B13" s="1"/>
      <c r="C13" s="1"/>
      <c r="D13" s="1"/>
      <c r="E13" s="2"/>
      <c r="F13" s="50" t="s">
        <v>3</v>
      </c>
      <c r="G13" s="49">
        <v>7.2499999999999995E-2</v>
      </c>
      <c r="H13" s="2"/>
      <c r="I13" s="2"/>
      <c r="J13" s="58" t="s">
        <v>4</v>
      </c>
      <c r="K13" s="58"/>
      <c r="L13" s="13">
        <f>+SUM(Q18:Q23)/(365/12)</f>
        <v>33.053310398632192</v>
      </c>
      <c r="M13" s="12"/>
    </row>
    <row r="14" spans="1:17">
      <c r="A14" s="1"/>
      <c r="B14" s="1"/>
      <c r="C14" s="1"/>
      <c r="D14" s="1"/>
      <c r="E14" s="2"/>
      <c r="F14" s="51" t="s">
        <v>5</v>
      </c>
      <c r="G14" s="14">
        <f>G11/N24</f>
        <v>0.99999999561035369</v>
      </c>
      <c r="I14" s="6"/>
      <c r="J14" s="58" t="s">
        <v>19</v>
      </c>
      <c r="K14" s="58"/>
      <c r="L14" s="13">
        <f>+SUM(Q18:Q23)/(365)</f>
        <v>2.7544425332193496</v>
      </c>
      <c r="M14" s="15"/>
      <c r="N14" s="16"/>
    </row>
    <row r="15" spans="1:17" ht="15.75" thickBot="1">
      <c r="A15" s="1"/>
      <c r="B15" s="1"/>
      <c r="C15" s="1"/>
      <c r="D15" s="1"/>
      <c r="E15" s="2"/>
      <c r="F15" s="3"/>
      <c r="G15" s="2"/>
      <c r="H15" s="2"/>
      <c r="I15" s="2"/>
      <c r="J15" s="2"/>
      <c r="K15" s="2"/>
      <c r="L15" s="2"/>
      <c r="M15" s="17"/>
      <c r="N15" s="16"/>
    </row>
    <row r="16" spans="1:17" s="25" customFormat="1" ht="28.5" customHeight="1" thickBot="1">
      <c r="A16" s="18"/>
      <c r="B16" s="19"/>
      <c r="C16" s="19" t="s">
        <v>6</v>
      </c>
      <c r="D16" s="19"/>
      <c r="E16" s="20"/>
      <c r="F16" s="21" t="s">
        <v>7</v>
      </c>
      <c r="G16" s="21" t="s">
        <v>8</v>
      </c>
      <c r="H16" s="21" t="s">
        <v>9</v>
      </c>
      <c r="I16" s="21" t="s">
        <v>10</v>
      </c>
      <c r="J16" s="21" t="s">
        <v>11</v>
      </c>
      <c r="K16" s="21" t="s">
        <v>12</v>
      </c>
      <c r="L16" s="22" t="s">
        <v>13</v>
      </c>
      <c r="M16" s="23"/>
      <c r="N16" s="24" t="s">
        <v>14</v>
      </c>
      <c r="O16" s="24" t="s">
        <v>15</v>
      </c>
      <c r="Q16" s="24" t="s">
        <v>16</v>
      </c>
    </row>
    <row r="17" spans="1:17">
      <c r="A17" s="1"/>
      <c r="B17" s="26">
        <f>+D17</f>
        <v>45875</v>
      </c>
      <c r="C17" s="27">
        <f>+$G$13</f>
        <v>7.2499999999999995E-2</v>
      </c>
      <c r="D17" s="26">
        <f>+G12</f>
        <v>45875</v>
      </c>
      <c r="E17" s="28"/>
      <c r="F17" s="29">
        <f>+G12</f>
        <v>45875</v>
      </c>
      <c r="G17" s="52">
        <f>+G11</f>
        <v>100</v>
      </c>
      <c r="H17" s="31"/>
      <c r="I17" s="30"/>
      <c r="J17" s="52"/>
      <c r="K17" s="52">
        <f t="shared" ref="K17:K23" si="0">+G17-J17</f>
        <v>100</v>
      </c>
      <c r="L17" s="32">
        <f>-G17</f>
        <v>-100</v>
      </c>
      <c r="M17" s="33"/>
      <c r="N17" s="34"/>
      <c r="O17" s="34"/>
    </row>
    <row r="18" spans="1:17">
      <c r="A18" s="1"/>
      <c r="B18" s="26">
        <f>EDATE(B17, 6)</f>
        <v>46059</v>
      </c>
      <c r="C18" s="27">
        <f t="shared" ref="C18:C23" si="1">+$G$13</f>
        <v>7.2499999999999995E-2</v>
      </c>
      <c r="D18" s="26">
        <f>B18</f>
        <v>46059</v>
      </c>
      <c r="E18" s="28"/>
      <c r="F18" s="35">
        <f>+D18</f>
        <v>46059</v>
      </c>
      <c r="G18" s="52">
        <f>+K17</f>
        <v>100</v>
      </c>
      <c r="H18" s="36">
        <f>+B18-B17</f>
        <v>184</v>
      </c>
      <c r="I18" s="30">
        <f>+G18*($G$13)*(H18)/365</f>
        <v>3.6547945205479446</v>
      </c>
      <c r="J18" s="52"/>
      <c r="K18" s="52">
        <f t="shared" si="0"/>
        <v>100</v>
      </c>
      <c r="L18" s="32">
        <f t="shared" ref="L18:L23" si="2">+I18+J18</f>
        <v>3.6547945205479446</v>
      </c>
      <c r="M18" s="33"/>
      <c r="N18" s="37">
        <f>+L18/(1+$L$11)^((O18)/365)</f>
        <v>3.5259270373635201</v>
      </c>
      <c r="O18" s="38">
        <f>+F18-$F$17</f>
        <v>184</v>
      </c>
      <c r="Q18" s="39">
        <f>+(N18/$N$24)*O18</f>
        <v>6.4877057202701431</v>
      </c>
    </row>
    <row r="19" spans="1:17">
      <c r="A19" s="1"/>
      <c r="B19" s="26">
        <f>EDATE(B18, 6)</f>
        <v>46240</v>
      </c>
      <c r="C19" s="27">
        <f t="shared" si="1"/>
        <v>7.2499999999999995E-2</v>
      </c>
      <c r="D19" s="26">
        <f t="shared" ref="D19" si="3">B19</f>
        <v>46240</v>
      </c>
      <c r="E19" s="28"/>
      <c r="F19" s="35">
        <f>+D19</f>
        <v>46240</v>
      </c>
      <c r="G19" s="52">
        <f t="shared" ref="G19" si="4">+K18</f>
        <v>100</v>
      </c>
      <c r="H19" s="36">
        <f>+B19-B18</f>
        <v>181</v>
      </c>
      <c r="I19" s="30">
        <f t="shared" ref="I19:I23" si="5">+G19*($G$13)*(H19)/365</f>
        <v>3.595205479452054</v>
      </c>
      <c r="J19" s="52"/>
      <c r="K19" s="52">
        <f t="shared" si="0"/>
        <v>100</v>
      </c>
      <c r="L19" s="32">
        <f t="shared" si="2"/>
        <v>3.595205479452054</v>
      </c>
      <c r="M19" s="33"/>
      <c r="N19" s="37">
        <f t="shared" ref="N19:N23" si="6">+L19/(1+$L$11)^((O19)/365)</f>
        <v>3.3481014422072297</v>
      </c>
      <c r="O19" s="38">
        <f t="shared" ref="O19:O22" si="7">+F19-$F$17</f>
        <v>365</v>
      </c>
      <c r="Q19" s="39">
        <f t="shared" ref="Q19:Q22" si="8">+(N19/$N$24)*O19</f>
        <v>12.220570210412408</v>
      </c>
    </row>
    <row r="20" spans="1:17">
      <c r="A20" s="1"/>
      <c r="B20" s="26">
        <f t="shared" ref="B20:B23" si="9">EDATE(B19, 6)</f>
        <v>46424</v>
      </c>
      <c r="C20" s="27">
        <f t="shared" si="1"/>
        <v>7.2499999999999995E-2</v>
      </c>
      <c r="D20" s="26">
        <f>B20+2</f>
        <v>46426</v>
      </c>
      <c r="E20" s="28"/>
      <c r="F20" s="35">
        <f t="shared" ref="F20:F23" si="10">+D20</f>
        <v>46426</v>
      </c>
      <c r="G20" s="52">
        <f>+K19</f>
        <v>100</v>
      </c>
      <c r="H20" s="36">
        <f>+B20-B19</f>
        <v>184</v>
      </c>
      <c r="I20" s="30">
        <f t="shared" si="5"/>
        <v>3.6547945205479446</v>
      </c>
      <c r="J20" s="52"/>
      <c r="K20" s="52">
        <f t="shared" si="0"/>
        <v>100</v>
      </c>
      <c r="L20" s="32">
        <f t="shared" si="2"/>
        <v>3.6547945205479446</v>
      </c>
      <c r="M20" s="33"/>
      <c r="N20" s="37">
        <f t="shared" si="6"/>
        <v>3.2823036783290505</v>
      </c>
      <c r="O20" s="38">
        <f t="shared" si="7"/>
        <v>551</v>
      </c>
      <c r="Q20" s="39">
        <f t="shared" si="8"/>
        <v>18.085493188204151</v>
      </c>
    </row>
    <row r="21" spans="1:17">
      <c r="A21" s="1"/>
      <c r="B21" s="26">
        <f t="shared" si="9"/>
        <v>46605</v>
      </c>
      <c r="C21" s="27">
        <f t="shared" si="1"/>
        <v>7.2499999999999995E-2</v>
      </c>
      <c r="D21" s="26">
        <f>B21</f>
        <v>46605</v>
      </c>
      <c r="E21" s="28"/>
      <c r="F21" s="35">
        <f t="shared" si="10"/>
        <v>46605</v>
      </c>
      <c r="G21" s="52">
        <f>+K20</f>
        <v>100</v>
      </c>
      <c r="H21" s="36">
        <f>+B21-B20</f>
        <v>181</v>
      </c>
      <c r="I21" s="30">
        <f t="shared" si="5"/>
        <v>3.595205479452054</v>
      </c>
      <c r="J21" s="52"/>
      <c r="K21" s="52">
        <f t="shared" si="0"/>
        <v>100</v>
      </c>
      <c r="L21" s="32">
        <f t="shared" si="2"/>
        <v>3.595205479452054</v>
      </c>
      <c r="M21" s="33"/>
      <c r="N21" s="37">
        <f t="shared" si="6"/>
        <v>3.1179812479087055</v>
      </c>
      <c r="O21" s="38">
        <f t="shared" si="7"/>
        <v>730</v>
      </c>
      <c r="Q21" s="39">
        <f t="shared" si="8"/>
        <v>22.761263009819654</v>
      </c>
    </row>
    <row r="22" spans="1:17">
      <c r="A22" s="1"/>
      <c r="B22" s="26">
        <f t="shared" si="9"/>
        <v>46789</v>
      </c>
      <c r="C22" s="27">
        <f t="shared" si="1"/>
        <v>7.2499999999999995E-2</v>
      </c>
      <c r="D22" s="26">
        <f>B22+1</f>
        <v>46790</v>
      </c>
      <c r="E22" s="28"/>
      <c r="F22" s="35">
        <f t="shared" si="10"/>
        <v>46790</v>
      </c>
      <c r="G22" s="52">
        <f t="shared" ref="G22:G23" si="11">+K21</f>
        <v>100</v>
      </c>
      <c r="H22" s="36">
        <f>+B22-B21</f>
        <v>184</v>
      </c>
      <c r="I22" s="30">
        <f t="shared" si="5"/>
        <v>3.6547945205479446</v>
      </c>
      <c r="J22" s="52"/>
      <c r="K22" s="52">
        <f t="shared" si="0"/>
        <v>100</v>
      </c>
      <c r="L22" s="32">
        <f t="shared" si="2"/>
        <v>3.6547945205479446</v>
      </c>
      <c r="M22" s="33"/>
      <c r="N22" s="37">
        <f t="shared" si="6"/>
        <v>3.0573022558058369</v>
      </c>
      <c r="O22" s="38">
        <f t="shared" si="7"/>
        <v>915</v>
      </c>
      <c r="Q22" s="39">
        <f t="shared" si="8"/>
        <v>27.974315517826057</v>
      </c>
    </row>
    <row r="23" spans="1:17" ht="15.75" thickBot="1">
      <c r="A23" s="1"/>
      <c r="B23" s="26">
        <f t="shared" si="9"/>
        <v>46971</v>
      </c>
      <c r="C23" s="27">
        <f t="shared" si="1"/>
        <v>7.2499999999999995E-2</v>
      </c>
      <c r="D23" s="26">
        <f>B23+1</f>
        <v>46972</v>
      </c>
      <c r="E23" s="28"/>
      <c r="F23" s="35">
        <f t="shared" si="10"/>
        <v>46972</v>
      </c>
      <c r="G23" s="52">
        <f t="shared" si="11"/>
        <v>100</v>
      </c>
      <c r="H23" s="36">
        <f>+D23-B22</f>
        <v>183</v>
      </c>
      <c r="I23" s="30">
        <f t="shared" si="5"/>
        <v>3.6349315068493144</v>
      </c>
      <c r="J23" s="52">
        <f t="shared" ref="J23" si="12">$G$11</f>
        <v>100</v>
      </c>
      <c r="K23" s="52">
        <f t="shared" si="0"/>
        <v>0</v>
      </c>
      <c r="L23" s="32">
        <f t="shared" si="2"/>
        <v>103.63493150684931</v>
      </c>
      <c r="M23" s="33"/>
      <c r="N23" s="37">
        <f t="shared" si="6"/>
        <v>83.668384777350298</v>
      </c>
      <c r="O23" s="38">
        <f>+F23-$F$17</f>
        <v>1097</v>
      </c>
      <c r="Q23" s="39">
        <f>+(N23/$N$24)*O23</f>
        <v>917.84217697853023</v>
      </c>
    </row>
    <row r="24" spans="1:17" s="46" customFormat="1" ht="23.1" customHeight="1" thickBot="1">
      <c r="B24" s="26"/>
      <c r="E24" s="47"/>
      <c r="F24" s="54" t="s">
        <v>17</v>
      </c>
      <c r="G24" s="55"/>
      <c r="H24" s="56"/>
      <c r="I24" s="40">
        <f>SUM(I18:I23)</f>
        <v>21.789726027397258</v>
      </c>
      <c r="J24" s="53">
        <f>SUM(J18:J21)</f>
        <v>0</v>
      </c>
      <c r="K24" s="53"/>
      <c r="L24" s="41">
        <f>SUM(L17:L23)</f>
        <v>21.789726027397222</v>
      </c>
      <c r="M24" s="48"/>
      <c r="N24" s="42">
        <f>SUM(N18:N23)</f>
        <v>100.00000043896463</v>
      </c>
    </row>
    <row r="25" spans="1:17" s="46" customFormat="1" ht="21" customHeight="1">
      <c r="E25" s="47"/>
      <c r="M25" s="48"/>
    </row>
    <row r="26" spans="1:17" ht="15" customHeight="1"/>
    <row r="27" spans="1:17" ht="15" customHeight="1"/>
    <row r="28" spans="1:17" ht="15" customHeight="1">
      <c r="F28" s="57" t="s">
        <v>18</v>
      </c>
      <c r="G28" s="57"/>
      <c r="H28" s="57"/>
      <c r="I28" s="57"/>
      <c r="J28" s="57"/>
      <c r="K28" s="57"/>
      <c r="L28" s="57"/>
    </row>
    <row r="29" spans="1:17" ht="29.25" customHeight="1">
      <c r="F29" s="57"/>
      <c r="G29" s="57"/>
      <c r="H29" s="57"/>
      <c r="I29" s="57"/>
      <c r="J29" s="57"/>
      <c r="K29" s="57"/>
      <c r="L29" s="57"/>
    </row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sheetProtection algorithmName="SHA-512" hashValue="WBgBZNeoPMGRKf1PGkgsxsdjYy4yL/rADkttRJz2MRTkZ/9zlDfStPdBKqqxfTlbnhK/O/BtdbHIPiNp4/XirA==" saltValue="MkMMJIf9eZvLlIjjRiRJUQ==" spinCount="100000" sheet="1" selectLockedCells="1"/>
  <mergeCells count="6">
    <mergeCell ref="F24:H24"/>
    <mergeCell ref="F28:L29"/>
    <mergeCell ref="J14:K14"/>
    <mergeCell ref="J11:K11"/>
    <mergeCell ref="J12:K12"/>
    <mergeCell ref="J13:K1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Clase 25</vt:lpstr>
      <vt:lpstr>'ON Clase 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2025-07-30T13:37:53Z</dcterms:modified>
</cp:coreProperties>
</file>