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3D Latinoamericana\Serie I\"/>
    </mc:Choice>
  </mc:AlternateContent>
  <xr:revisionPtr revIDLastSave="0" documentId="13_ncr:1_{385B2682-A023-4A58-BE1D-482C865F3CF1}" xr6:coauthVersionLast="47" xr6:coauthVersionMax="47" xr10:uidLastSave="{00000000-0000-0000-0000-000000000000}"/>
  <bookViews>
    <workbookView xWindow="-120" yWindow="-120" windowWidth="29040" windowHeight="15840" xr2:uid="{D7FBD7F0-4158-44F8-BAC7-F1D02ACA8CA8}"/>
  </bookViews>
  <sheets>
    <sheet name="ON SERIE I" sheetId="6" r:id="rId1"/>
  </sheets>
  <definedNames>
    <definedName name="_xlnm.Print_Area" localSheetId="0">'ON SERIE I'!$A$4:$Q$19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6" l="1"/>
  <c r="H23" i="6" s="1"/>
  <c r="P19" i="6"/>
  <c r="P20" i="6"/>
  <c r="P21" i="6"/>
  <c r="P23" i="6"/>
  <c r="P24" i="6"/>
  <c r="P25" i="6"/>
  <c r="P18" i="6"/>
  <c r="H25" i="6" l="1"/>
  <c r="H24" i="6"/>
  <c r="H22" i="6"/>
  <c r="H21" i="6"/>
  <c r="H20" i="6"/>
  <c r="H19" i="6"/>
  <c r="H18" i="6"/>
  <c r="D23" i="6"/>
  <c r="D18" i="6"/>
  <c r="D19" i="6"/>
  <c r="D20" i="6"/>
  <c r="D21" i="6"/>
  <c r="D24" i="6"/>
  <c r="D25" i="6"/>
  <c r="B21" i="6"/>
  <c r="B22" i="6"/>
  <c r="B23" i="6" s="1"/>
  <c r="B24" i="6" s="1"/>
  <c r="B25" i="6" s="1"/>
  <c r="B20" i="6"/>
  <c r="G17" i="6"/>
  <c r="J25" i="6"/>
  <c r="J19" i="6"/>
  <c r="F17" i="6"/>
  <c r="J23" i="6"/>
  <c r="J21" i="6"/>
  <c r="J26" i="6" s="1"/>
  <c r="L17" i="6"/>
  <c r="C24" i="6"/>
  <c r="C25" i="6"/>
  <c r="C22" i="6"/>
  <c r="C23" i="6"/>
  <c r="C18" i="6"/>
  <c r="K17" i="6" l="1"/>
  <c r="G18" i="6" s="1"/>
  <c r="I18" i="6" s="1"/>
  <c r="C20" i="6"/>
  <c r="C21" i="6"/>
  <c r="B17" i="6"/>
  <c r="D17" i="6" s="1"/>
  <c r="L18" i="6" l="1"/>
  <c r="K18" i="6"/>
  <c r="G19" i="6" s="1"/>
  <c r="B18" i="6"/>
  <c r="B19" i="6" s="1"/>
  <c r="C19" i="6"/>
  <c r="C17" i="6"/>
  <c r="K19" i="6" l="1"/>
  <c r="G20" i="6" s="1"/>
  <c r="I20" i="6" s="1"/>
  <c r="L20" i="6" s="1"/>
  <c r="I19" i="6"/>
  <c r="F18" i="6"/>
  <c r="F19" i="6"/>
  <c r="F20" i="6"/>
  <c r="L19" i="6" l="1"/>
  <c r="F22" i="6"/>
  <c r="P22" i="6" s="1"/>
  <c r="F21" i="6"/>
  <c r="K20" i="6" l="1"/>
  <c r="G21" i="6" s="1"/>
  <c r="I21" i="6" s="1"/>
  <c r="L21" i="6" l="1"/>
  <c r="F24" i="6"/>
  <c r="F25" i="6"/>
  <c r="F23" i="6"/>
  <c r="K21" i="6"/>
  <c r="G22" i="6" s="1"/>
  <c r="I22" i="6" s="1"/>
  <c r="L22" i="6" s="1"/>
  <c r="K22" i="6" l="1"/>
  <c r="G23" i="6" s="1"/>
  <c r="I23" i="6" s="1"/>
  <c r="L23" i="6" s="1"/>
  <c r="K23" i="6" l="1"/>
  <c r="G24" i="6" s="1"/>
  <c r="I24" i="6" s="1"/>
  <c r="L24" i="6" l="1"/>
  <c r="K24" i="6"/>
  <c r="G25" i="6" s="1"/>
  <c r="I25" i="6" s="1"/>
  <c r="L25" i="6" s="1"/>
  <c r="I26" i="6" l="1"/>
  <c r="K25" i="6"/>
  <c r="L9" i="6" l="1"/>
  <c r="O18" i="6" l="1"/>
  <c r="O24" i="6"/>
  <c r="O22" i="6"/>
  <c r="O20" i="6"/>
  <c r="L10" i="6"/>
  <c r="O25" i="6"/>
  <c r="O23" i="6"/>
  <c r="O21" i="6"/>
  <c r="O19" i="6"/>
  <c r="L26" i="6"/>
  <c r="O26" i="6" l="1"/>
  <c r="R25" i="6" s="1"/>
  <c r="R22" i="6" l="1"/>
  <c r="R19" i="6"/>
  <c r="R20" i="6"/>
  <c r="R21" i="6"/>
  <c r="L13" i="6"/>
  <c r="R18" i="6"/>
  <c r="R23" i="6"/>
  <c r="R24" i="6"/>
  <c r="L11" i="6" l="1"/>
  <c r="L12" i="6" s="1"/>
</calcChain>
</file>

<file path=xl/sharedStrings.xml><?xml version="1.0" encoding="utf-8"?>
<sst xmlns="http://schemas.openxmlformats.org/spreadsheetml/2006/main" count="24" uniqueCount="24">
  <si>
    <t>VN (AR$)</t>
  </si>
  <si>
    <t>TIR</t>
  </si>
  <si>
    <t>Fecha de Emisión y Liquidación</t>
  </si>
  <si>
    <t>TNA (90 d)</t>
  </si>
  <si>
    <t>Duration (meses)</t>
  </si>
  <si>
    <t>Margen a Licitar</t>
  </si>
  <si>
    <t>Precio</t>
  </si>
  <si>
    <t>Tasa de cupon</t>
  </si>
  <si>
    <t>Fecha de Pago</t>
  </si>
  <si>
    <t>Capital (AR$)</t>
  </si>
  <si>
    <t>Días Intereses</t>
  </si>
  <si>
    <t>Intereses (AR$)</t>
  </si>
  <si>
    <t>Amortización (AR$)</t>
  </si>
  <si>
    <t>Capital Residual (AR$)</t>
  </si>
  <si>
    <t>Flujo (AR$)</t>
  </si>
  <si>
    <t>VA Flujo</t>
  </si>
  <si>
    <t>Días Flujo</t>
  </si>
  <si>
    <t>Duration</t>
  </si>
  <si>
    <t>Totales</t>
  </si>
  <si>
    <t>Duration (años)</t>
  </si>
  <si>
    <t>Tamar Proyectada</t>
  </si>
  <si>
    <t>Pesos Tamar - 24 meses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</si>
  <si>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Prospecto que ha tenido a su disposición.
</t>
  </si>
  <si>
    <t>Obligaciones Negociables PyME CNV Garantizada 3D LATINOAMERICA S.A. SERIE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</si>
</sst>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-* #,##0_-;\-* #,##0_-;_-* &quot;-&quot;??_-;_-@_-"/>
    <numFmt numFmtId="173" formatCode="0.0000%"/>
    <numFmt numFmtId="174" formatCode="0.000%"/>
  </numFmts>
  <fonts count="16">
    <font>
      <sz val="10"/>
      <name val="Arial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2" fillId="0" borderId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>
      <alignment vertical="top"/>
    </xf>
  </cellStyleXfs>
  <cellXfs count="76">
    <xf numFmtId="0" fontId="0" fillId="0" borderId="0" xfId="0"/>
    <xf numFmtId="0" fontId="3" fillId="0" borderId="0" xfId="2" applyFont="1" applyProtection="1">
      <protection hidden="1"/>
    </xf>
    <xf numFmtId="164" fontId="3" fillId="0" borderId="0" xfId="2" applyNumberFormat="1" applyFont="1" applyProtection="1">
      <protection hidden="1"/>
    </xf>
    <xf numFmtId="0" fontId="4" fillId="2" borderId="0" xfId="2" applyFont="1" applyFill="1" applyProtection="1">
      <protection hidden="1"/>
    </xf>
    <xf numFmtId="0" fontId="4" fillId="0" borderId="0" xfId="2" applyFont="1" applyProtection="1">
      <protection hidden="1"/>
    </xf>
    <xf numFmtId="0" fontId="4" fillId="0" borderId="0" xfId="2" applyFont="1"/>
    <xf numFmtId="0" fontId="5" fillId="0" borderId="0" xfId="2" applyFont="1" applyProtection="1">
      <protection hidden="1"/>
    </xf>
    <xf numFmtId="0" fontId="5" fillId="0" borderId="0" xfId="0" applyFont="1" applyProtection="1">
      <protection hidden="1"/>
    </xf>
    <xf numFmtId="10" fontId="8" fillId="2" borderId="0" xfId="1" applyNumberFormat="1" applyFont="1" applyFill="1" applyBorder="1" applyProtection="1">
      <protection hidden="1"/>
    </xf>
    <xf numFmtId="165" fontId="8" fillId="2" borderId="0" xfId="3" applyFont="1" applyFill="1" applyBorder="1" applyProtection="1">
      <protection hidden="1"/>
    </xf>
    <xf numFmtId="10" fontId="3" fillId="0" borderId="0" xfId="2" applyNumberFormat="1" applyFont="1" applyProtection="1">
      <protection hidden="1"/>
    </xf>
    <xf numFmtId="0" fontId="9" fillId="2" borderId="0" xfId="2" applyFont="1" applyFill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4" fillId="2" borderId="0" xfId="2" applyFont="1" applyFill="1"/>
    <xf numFmtId="0" fontId="3" fillId="2" borderId="0" xfId="2" applyFont="1" applyFill="1" applyProtection="1">
      <protection hidden="1"/>
    </xf>
    <xf numFmtId="164" fontId="6" fillId="2" borderId="0" xfId="2" applyNumberFormat="1" applyFont="1" applyFill="1" applyAlignment="1" applyProtection="1">
      <alignment horizontal="left"/>
      <protection hidden="1"/>
    </xf>
    <xf numFmtId="9" fontId="7" fillId="2" borderId="0" xfId="1" applyFont="1" applyFill="1" applyBorder="1" applyProtection="1">
      <protection hidden="1"/>
    </xf>
    <xf numFmtId="10" fontId="3" fillId="2" borderId="0" xfId="2" applyNumberFormat="1" applyFont="1" applyFill="1" applyProtection="1">
      <protection hidden="1"/>
    </xf>
    <xf numFmtId="0" fontId="5" fillId="2" borderId="0" xfId="2" applyFont="1" applyFill="1" applyAlignment="1" applyProtection="1">
      <alignment horizontal="center"/>
      <protection hidden="1"/>
    </xf>
    <xf numFmtId="0" fontId="10" fillId="2" borderId="0" xfId="2" applyFont="1" applyFill="1" applyProtection="1">
      <protection hidden="1"/>
    </xf>
    <xf numFmtId="164" fontId="11" fillId="0" borderId="3" xfId="2" applyNumberFormat="1" applyFont="1" applyBorder="1" applyAlignment="1">
      <alignment horizontal="center" vertical="center" wrapText="1"/>
    </xf>
    <xf numFmtId="164" fontId="5" fillId="0" borderId="0" xfId="2" applyNumberFormat="1" applyFont="1" applyAlignment="1" applyProtection="1">
      <alignment horizontal="center" vertical="center" wrapText="1"/>
      <protection hidden="1"/>
    </xf>
    <xf numFmtId="0" fontId="1" fillId="6" borderId="4" xfId="4" applyFont="1" applyFill="1" applyBorder="1" applyAlignment="1" applyProtection="1">
      <alignment horizontal="center" vertical="center" wrapText="1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1" fillId="2" borderId="0" xfId="2" applyFont="1" applyFill="1" applyAlignment="1" applyProtection="1">
      <alignment horizontal="center" vertical="center" wrapText="1"/>
      <protection hidden="1"/>
    </xf>
    <xf numFmtId="0" fontId="1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2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67" fontId="3" fillId="0" borderId="0" xfId="2" applyNumberFormat="1" applyFont="1" applyProtection="1">
      <protection hidden="1"/>
    </xf>
    <xf numFmtId="167" fontId="3" fillId="5" borderId="6" xfId="0" applyNumberFormat="1" applyFont="1" applyFill="1" applyBorder="1" applyProtection="1">
      <protection hidden="1"/>
    </xf>
    <xf numFmtId="168" fontId="3" fillId="5" borderId="0" xfId="2" applyNumberFormat="1" applyFont="1" applyFill="1" applyProtection="1">
      <protection hidden="1"/>
    </xf>
    <xf numFmtId="168" fontId="3" fillId="5" borderId="7" xfId="2" applyNumberFormat="1" applyFont="1" applyFill="1" applyBorder="1" applyAlignment="1" applyProtection="1">
      <alignment horizontal="right" indent="1"/>
      <protection hidden="1"/>
    </xf>
    <xf numFmtId="168" fontId="3" fillId="5" borderId="8" xfId="2" applyNumberFormat="1" applyFont="1" applyFill="1" applyBorder="1" applyProtection="1">
      <protection hidden="1"/>
    </xf>
    <xf numFmtId="170" fontId="10" fillId="2" borderId="0" xfId="5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0" fontId="4" fillId="0" borderId="0" xfId="0" applyFont="1"/>
    <xf numFmtId="167" fontId="10" fillId="2" borderId="0" xfId="0" applyNumberFormat="1" applyFont="1" applyFill="1" applyProtection="1">
      <protection hidden="1"/>
    </xf>
    <xf numFmtId="167" fontId="3" fillId="5" borderId="9" xfId="0" applyNumberFormat="1" applyFont="1" applyFill="1" applyBorder="1" applyProtection="1">
      <protection hidden="1"/>
    </xf>
    <xf numFmtId="166" fontId="10" fillId="0" borderId="0" xfId="3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4" fillId="0" borderId="0" xfId="0" applyNumberFormat="1" applyFont="1"/>
    <xf numFmtId="167" fontId="10" fillId="0" borderId="0" xfId="2" applyNumberFormat="1" applyFont="1"/>
    <xf numFmtId="2" fontId="10" fillId="2" borderId="0" xfId="2" applyNumberFormat="1" applyFont="1" applyFill="1" applyAlignment="1" applyProtection="1">
      <alignment horizontal="right" indent="1"/>
      <protection hidden="1"/>
    </xf>
    <xf numFmtId="166" fontId="4" fillId="0" borderId="12" xfId="0" applyNumberFormat="1" applyFont="1" applyBorder="1"/>
    <xf numFmtId="0" fontId="3" fillId="0" borderId="0" xfId="2" applyFont="1"/>
    <xf numFmtId="164" fontId="3" fillId="0" borderId="0" xfId="2" applyNumberFormat="1" applyFont="1"/>
    <xf numFmtId="10" fontId="7" fillId="2" borderId="0" xfId="1" applyNumberFormat="1" applyFont="1" applyFill="1" applyBorder="1" applyProtection="1">
      <protection hidden="1"/>
    </xf>
    <xf numFmtId="165" fontId="7" fillId="2" borderId="0" xfId="3" applyFont="1" applyFill="1" applyBorder="1" applyProtection="1">
      <protection hidden="1"/>
    </xf>
    <xf numFmtId="0" fontId="5" fillId="2" borderId="0" xfId="2" applyFont="1" applyFill="1" applyProtection="1">
      <protection hidden="1"/>
    </xf>
    <xf numFmtId="0" fontId="1" fillId="2" borderId="0" xfId="4" applyFont="1" applyFill="1" applyAlignment="1" applyProtection="1">
      <alignment horizontal="center" vertical="center" wrapText="1"/>
      <protection hidden="1"/>
    </xf>
    <xf numFmtId="168" fontId="3" fillId="2" borderId="0" xfId="2" applyNumberFormat="1" applyFont="1" applyFill="1" applyProtection="1">
      <protection hidden="1"/>
    </xf>
    <xf numFmtId="168" fontId="1" fillId="2" borderId="0" xfId="4" applyNumberFormat="1" applyFont="1" applyFill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top" wrapText="1"/>
      <protection hidden="1"/>
    </xf>
    <xf numFmtId="172" fontId="3" fillId="5" borderId="0" xfId="6" applyNumberFormat="1" applyFont="1" applyFill="1" applyAlignment="1" applyProtection="1">
      <alignment horizontal="right" indent="1"/>
      <protection hidden="1"/>
    </xf>
    <xf numFmtId="168" fontId="1" fillId="6" borderId="10" xfId="4" applyNumberFormat="1" applyFont="1" applyFill="1" applyBorder="1" applyAlignment="1" applyProtection="1">
      <alignment horizontal="center" vertical="center" wrapText="1"/>
      <protection hidden="1"/>
    </xf>
    <xf numFmtId="168" fontId="1" fillId="6" borderId="11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2" applyFont="1" applyAlignment="1">
      <alignment horizontal="center"/>
    </xf>
    <xf numFmtId="0" fontId="4" fillId="2" borderId="0" xfId="2" applyFont="1" applyFill="1" applyAlignment="1">
      <alignment horizontal="center"/>
    </xf>
    <xf numFmtId="173" fontId="4" fillId="0" borderId="0" xfId="2" applyNumberFormat="1" applyFont="1" applyAlignment="1">
      <alignment horizontal="center"/>
    </xf>
    <xf numFmtId="9" fontId="4" fillId="0" borderId="0" xfId="2" applyNumberFormat="1" applyFont="1" applyAlignment="1">
      <alignment horizontal="center"/>
    </xf>
    <xf numFmtId="167" fontId="10" fillId="0" borderId="0" xfId="0" applyNumberFormat="1" applyFont="1" applyAlignment="1" applyProtection="1">
      <alignment horizontal="center"/>
      <protection hidden="1"/>
    </xf>
    <xf numFmtId="167" fontId="10" fillId="0" borderId="0" xfId="2" applyNumberFormat="1" applyFont="1" applyAlignment="1">
      <alignment horizontal="center"/>
    </xf>
    <xf numFmtId="14" fontId="15" fillId="5" borderId="1" xfId="2" applyNumberFormat="1" applyFont="1" applyFill="1" applyBorder="1" applyProtection="1">
      <protection hidden="1"/>
    </xf>
    <xf numFmtId="166" fontId="15" fillId="4" borderId="1" xfId="3" applyNumberFormat="1" applyFont="1" applyFill="1" applyBorder="1" applyProtection="1">
      <protection locked="0" hidden="1"/>
    </xf>
    <xf numFmtId="173" fontId="15" fillId="4" borderId="1" xfId="1" applyNumberFormat="1" applyFont="1" applyFill="1" applyBorder="1" applyProtection="1">
      <protection locked="0" hidden="1"/>
    </xf>
    <xf numFmtId="10" fontId="15" fillId="4" borderId="1" xfId="1" applyNumberFormat="1" applyFont="1" applyFill="1" applyBorder="1" applyProtection="1">
      <protection locked="0" hidden="1"/>
    </xf>
    <xf numFmtId="164" fontId="1" fillId="3" borderId="1" xfId="2" applyNumberFormat="1" applyFont="1" applyFill="1" applyBorder="1" applyAlignment="1" applyProtection="1">
      <alignment horizontal="left"/>
      <protection hidden="1"/>
    </xf>
    <xf numFmtId="10" fontId="15" fillId="5" borderId="1" xfId="1" applyNumberFormat="1" applyFont="1" applyFill="1" applyBorder="1" applyProtection="1">
      <protection hidden="1"/>
    </xf>
    <xf numFmtId="165" fontId="15" fillId="5" borderId="1" xfId="3" applyFont="1" applyFill="1" applyBorder="1" applyProtection="1">
      <protection hidden="1"/>
    </xf>
    <xf numFmtId="174" fontId="15" fillId="5" borderId="1" xfId="1" applyNumberFormat="1" applyFont="1" applyFill="1" applyBorder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4" xfId="4" applyFont="1" applyFill="1" applyBorder="1" applyAlignment="1" applyProtection="1">
      <alignment horizontal="center" vertical="center" wrapText="1"/>
      <protection hidden="1"/>
    </xf>
    <xf numFmtId="0" fontId="1" fillId="6" borderId="10" xfId="4" applyFont="1" applyFill="1" applyBorder="1" applyAlignment="1" applyProtection="1">
      <alignment horizontal="center" vertical="center" wrapText="1"/>
      <protection hidden="1"/>
    </xf>
  </cellXfs>
  <cellStyles count="8">
    <cellStyle name="Millares" xfId="6" builtinId="3"/>
    <cellStyle name="Millares 2" xfId="3" xr:uid="{FF5C690F-CF93-41F9-8228-E4383B53F847}"/>
    <cellStyle name="Moneda 2" xfId="5" xr:uid="{093BF4ED-D4BD-48FB-8709-FBB457E51F9B}"/>
    <cellStyle name="Normal" xfId="0" builtinId="0"/>
    <cellStyle name="Normal 2" xfId="2" xr:uid="{085915FE-631B-44E9-A50D-50B56F44B9F7}"/>
    <cellStyle name="Normal 3" xfId="7" xr:uid="{3958839E-C82C-47B3-A3F1-89165AE6AF70}"/>
    <cellStyle name="Normal_Calculadora Garbarino 45_v1" xfId="4" xr:uid="{C114151B-AB4D-44E8-B060-BEE71E75DFD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892024</xdr:colOff>
      <xdr:row>0</xdr:row>
      <xdr:rowOff>129270</xdr:rowOff>
    </xdr:from>
    <xdr:to>
      <xdr:col>12</xdr:col>
      <xdr:colOff>12812</xdr:colOff>
      <xdr:row>3</xdr:row>
      <xdr:rowOff>151055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EC767B-575D-4B18-AA87-4B174B1A6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79774" y="129270"/>
          <a:ext cx="1733359" cy="593285"/>
        </a:xfrm>
        <a:prstGeom prst="rect">
          <a:avLst/>
        </a:prstGeom>
      </xdr:spPr>
    </xdr:pic>
    <xdr:clientData/>
  </xdr:twoCellAnchor>
  <xdr:twoCellAnchor editAs="oneCell">
    <xdr:from>
      <xdr:col>4</xdr:col>
      <xdr:colOff>449036</xdr:colOff>
      <xdr:row>0</xdr:row>
      <xdr:rowOff>149679</xdr:rowOff>
    </xdr:from>
    <xdr:to>
      <xdr:col>5</xdr:col>
      <xdr:colOff>867108</xdr:colOff>
      <xdr:row>3</xdr:row>
      <xdr:rowOff>330357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3B30EE-AC94-4D24-80B0-27939F450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5143" y="149679"/>
          <a:ext cx="894322" cy="752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2C46-F460-4E8F-B273-FA6AEB74B9EB}">
  <sheetPr>
    <pageSetUpPr fitToPage="1"/>
  </sheetPr>
  <dimension ref="A1:AS45"/>
  <sheetViews>
    <sheetView showGridLines="0" tabSelected="1" topLeftCell="E1" zoomScale="70" zoomScaleNormal="70" workbookViewId="0">
      <selection activeCell="G9" sqref="G9"/>
    </sheetView>
  </sheetViews>
  <sheetFormatPr baseColWidth="10" defaultColWidth="16.140625" defaultRowHeight="0" customHeight="1" zeroHeight="1" outlineLevelCol="1"/>
  <cols>
    <col min="1" max="1" width="14.85546875" style="5" hidden="1" customWidth="1"/>
    <col min="2" max="2" width="37.140625" style="5" hidden="1" customWidth="1" outlineLevel="1"/>
    <col min="3" max="3" width="29.5703125" style="58" hidden="1" customWidth="1" outlineLevel="1"/>
    <col min="4" max="4" width="47.140625" style="58" hidden="1" customWidth="1" outlineLevel="1"/>
    <col min="5" max="5" width="7.140625" style="46" customWidth="1" collapsed="1"/>
    <col min="6" max="6" width="38.85546875" style="47" bestFit="1" customWidth="1"/>
    <col min="7" max="7" width="20.5703125" style="46" customWidth="1"/>
    <col min="8" max="8" width="13.5703125" style="46" bestFit="1" customWidth="1"/>
    <col min="9" max="9" width="17" style="46" customWidth="1"/>
    <col min="10" max="10" width="18.28515625" style="46" bestFit="1" customWidth="1"/>
    <col min="11" max="11" width="20.7109375" style="46" bestFit="1" customWidth="1"/>
    <col min="12" max="12" width="18.28515625" style="46" customWidth="1"/>
    <col min="13" max="13" width="12.7109375" style="46" customWidth="1"/>
    <col min="14" max="14" width="4" style="13" customWidth="1" outlineLevel="1"/>
    <col min="15" max="15" width="11.5703125" style="5" hidden="1" customWidth="1" outlineLevel="1"/>
    <col min="16" max="16" width="14.28515625" style="5" hidden="1" customWidth="1" outlineLevel="1"/>
    <col min="17" max="17" width="10" style="5" hidden="1" customWidth="1" outlineLevel="1"/>
    <col min="18" max="18" width="21" style="5" hidden="1" customWidth="1" outlineLevel="1"/>
    <col min="19" max="36" width="16.140625" style="5" customWidth="1"/>
    <col min="37" max="37" width="16.140625" style="5" hidden="1" customWidth="1" outlineLevel="1"/>
    <col min="38" max="38" width="16.140625" style="5" hidden="1" customWidth="1" outlineLevel="1" collapsed="1"/>
    <col min="39" max="39" width="0" style="5" hidden="1" customWidth="1" outlineLevel="1" collapsed="1"/>
    <col min="40" max="40" width="0" style="5" hidden="1" customWidth="1" outlineLevel="1"/>
    <col min="41" max="43" width="0" style="5" hidden="1" customWidth="1" outlineLevel="1" collapsed="1"/>
    <col min="44" max="44" width="0" style="5" hidden="1" customWidth="1" outlineLevel="1"/>
    <col min="45" max="45" width="16.140625" style="5" outlineLevel="1" collapsed="1"/>
    <col min="46" max="16384" width="16.140625" style="5" outlineLevel="1"/>
  </cols>
  <sheetData>
    <row r="1" spans="2:19" ht="15">
      <c r="E1" s="1"/>
      <c r="F1" s="2"/>
      <c r="G1" s="1"/>
      <c r="H1" s="1"/>
      <c r="I1" s="1"/>
      <c r="J1" s="1"/>
      <c r="K1" s="1"/>
      <c r="L1" s="1"/>
      <c r="M1" s="1"/>
      <c r="N1" s="3"/>
      <c r="O1" s="4"/>
      <c r="P1" s="4"/>
      <c r="Q1" s="4"/>
      <c r="R1" s="4"/>
      <c r="S1" s="4"/>
    </row>
    <row r="2" spans="2:19" ht="15">
      <c r="E2" s="1"/>
      <c r="F2" s="2"/>
      <c r="G2" s="1"/>
      <c r="H2" s="1"/>
      <c r="I2" s="1"/>
      <c r="J2" s="1"/>
      <c r="K2" s="1"/>
      <c r="L2" s="1"/>
      <c r="M2" s="1"/>
      <c r="N2" s="3"/>
      <c r="O2" s="4"/>
      <c r="P2" s="4"/>
      <c r="Q2" s="4"/>
      <c r="R2" s="4"/>
      <c r="S2" s="4"/>
    </row>
    <row r="3" spans="2:19" ht="15">
      <c r="E3" s="1"/>
      <c r="F3" s="6"/>
      <c r="G3" s="6"/>
      <c r="H3" s="6"/>
      <c r="I3" s="6"/>
      <c r="J3" s="1"/>
      <c r="K3" s="1"/>
      <c r="L3" s="1"/>
      <c r="M3" s="1"/>
      <c r="N3" s="3"/>
      <c r="O3" s="4"/>
      <c r="P3" s="4"/>
      <c r="Q3" s="4"/>
      <c r="R3" s="4"/>
      <c r="S3" s="4"/>
    </row>
    <row r="4" spans="2:19" ht="33" customHeight="1">
      <c r="E4" s="1"/>
      <c r="F4" s="2"/>
      <c r="G4" s="1"/>
      <c r="H4" s="1"/>
      <c r="I4" s="1"/>
      <c r="J4" s="1"/>
      <c r="K4" s="1"/>
      <c r="L4" s="1"/>
      <c r="M4" s="1"/>
      <c r="N4" s="3"/>
      <c r="O4" s="4"/>
      <c r="P4" s="4"/>
      <c r="Q4" s="4"/>
      <c r="R4" s="4"/>
      <c r="S4" s="4"/>
    </row>
    <row r="5" spans="2:19" ht="15">
      <c r="E5" s="1"/>
      <c r="F5" s="7" t="s">
        <v>23</v>
      </c>
      <c r="G5" s="1"/>
      <c r="H5" s="1"/>
      <c r="I5" s="1"/>
      <c r="J5" s="1"/>
      <c r="K5" s="1"/>
      <c r="L5" s="1"/>
      <c r="M5" s="1"/>
      <c r="N5" s="3"/>
      <c r="O5" s="4"/>
      <c r="P5" s="4"/>
      <c r="Q5" s="4"/>
      <c r="R5" s="4"/>
      <c r="S5" s="4"/>
    </row>
    <row r="6" spans="2:19" ht="15">
      <c r="E6" s="1"/>
      <c r="F6" s="7" t="s">
        <v>21</v>
      </c>
      <c r="G6" s="1"/>
      <c r="H6" s="1"/>
      <c r="I6" s="1"/>
      <c r="J6" s="1"/>
      <c r="K6" s="1"/>
      <c r="L6" s="1"/>
      <c r="M6" s="1"/>
      <c r="N6" s="3"/>
      <c r="O6" s="4"/>
      <c r="P6" s="4"/>
      <c r="Q6" s="4"/>
      <c r="R6" s="4"/>
      <c r="S6" s="4"/>
    </row>
    <row r="7" spans="2:19" ht="15">
      <c r="E7" s="1"/>
      <c r="F7" s="2"/>
      <c r="G7" s="1"/>
      <c r="H7" s="1"/>
      <c r="I7" s="1"/>
      <c r="J7" s="1"/>
      <c r="K7" s="1"/>
      <c r="L7" s="1"/>
      <c r="M7" s="1"/>
      <c r="N7" s="3"/>
      <c r="O7" s="4"/>
      <c r="P7" s="4"/>
      <c r="Q7" s="4"/>
      <c r="R7" s="4"/>
      <c r="S7" s="4"/>
    </row>
    <row r="8" spans="2:19" ht="15">
      <c r="E8" s="1"/>
      <c r="F8" s="2"/>
      <c r="G8" s="1"/>
      <c r="H8" s="1"/>
      <c r="I8" s="1"/>
      <c r="J8" s="1"/>
      <c r="K8" s="1"/>
      <c r="L8" s="1"/>
      <c r="M8" s="14"/>
      <c r="N8" s="3"/>
      <c r="O8" s="4"/>
      <c r="P8" s="4"/>
      <c r="Q8" s="4"/>
      <c r="R8" s="4"/>
      <c r="S8" s="4"/>
    </row>
    <row r="9" spans="2:19" ht="15">
      <c r="E9" s="1"/>
      <c r="F9" s="68" t="s">
        <v>0</v>
      </c>
      <c r="G9" s="65">
        <v>100000</v>
      </c>
      <c r="H9" s="1"/>
      <c r="I9" s="1"/>
      <c r="J9" s="73" t="s">
        <v>1</v>
      </c>
      <c r="K9" s="73"/>
      <c r="L9" s="69">
        <f>+XIRR(L17:L25,F17:F25)</f>
        <v>0.648449319601059</v>
      </c>
      <c r="M9" s="48"/>
      <c r="N9" s="8"/>
      <c r="O9" s="4"/>
      <c r="P9" s="4"/>
      <c r="Q9" s="4"/>
      <c r="R9" s="4"/>
      <c r="S9" s="4"/>
    </row>
    <row r="10" spans="2:19" ht="15">
      <c r="E10" s="1"/>
      <c r="F10" s="68" t="s">
        <v>2</v>
      </c>
      <c r="G10" s="64">
        <v>45882</v>
      </c>
      <c r="H10" s="1"/>
      <c r="I10" s="1"/>
      <c r="J10" s="73" t="s">
        <v>3</v>
      </c>
      <c r="K10" s="73"/>
      <c r="L10" s="69">
        <f>+NOMINAL(L9,4)</f>
        <v>0.53240689163018562</v>
      </c>
      <c r="M10" s="48"/>
      <c r="N10" s="9"/>
      <c r="O10" s="4"/>
      <c r="P10" s="4"/>
      <c r="Q10" s="4"/>
      <c r="R10" s="4"/>
      <c r="S10" s="4"/>
    </row>
    <row r="11" spans="2:19" ht="15">
      <c r="E11" s="1"/>
      <c r="F11" s="68" t="s">
        <v>20</v>
      </c>
      <c r="G11" s="66">
        <v>0.4375</v>
      </c>
      <c r="H11" s="1"/>
      <c r="I11" s="1"/>
      <c r="J11" s="73" t="s">
        <v>4</v>
      </c>
      <c r="K11" s="73"/>
      <c r="L11" s="70">
        <f>+SUM(R18:R25)/(365/12)</f>
        <v>12.398867110123186</v>
      </c>
      <c r="M11" s="49"/>
      <c r="N11" s="9"/>
      <c r="O11" s="4"/>
      <c r="P11" s="4"/>
      <c r="Q11" s="4"/>
      <c r="R11" s="4"/>
      <c r="S11" s="4"/>
    </row>
    <row r="12" spans="2:19" ht="15">
      <c r="E12" s="1"/>
      <c r="F12" s="68" t="s">
        <v>5</v>
      </c>
      <c r="G12" s="67">
        <v>9.5000000000000001E-2</v>
      </c>
      <c r="H12" s="10"/>
      <c r="I12" s="6"/>
      <c r="J12" s="73" t="s">
        <v>19</v>
      </c>
      <c r="K12" s="73"/>
      <c r="L12" s="70">
        <f>+L11/12</f>
        <v>1.0332389258435988</v>
      </c>
      <c r="M12" s="48"/>
      <c r="N12" s="11"/>
      <c r="O12" s="12"/>
      <c r="P12" s="4"/>
      <c r="Q12" s="4"/>
      <c r="R12" s="4"/>
      <c r="S12" s="4"/>
    </row>
    <row r="13" spans="2:19" ht="15">
      <c r="E13" s="1"/>
      <c r="F13" s="10"/>
      <c r="G13" s="10"/>
      <c r="H13" s="10"/>
      <c r="I13" s="6"/>
      <c r="J13" s="73" t="s">
        <v>6</v>
      </c>
      <c r="K13" s="73"/>
      <c r="L13" s="71">
        <f>+O26/G17</f>
        <v>0.99999999799225003</v>
      </c>
      <c r="M13" s="50"/>
      <c r="N13" s="11"/>
      <c r="O13" s="12"/>
      <c r="P13" s="4"/>
      <c r="Q13" s="4"/>
      <c r="R13" s="4"/>
      <c r="S13" s="4"/>
    </row>
    <row r="14" spans="2:19" s="13" customFormat="1" ht="15">
      <c r="C14" s="59"/>
      <c r="D14" s="59"/>
      <c r="E14" s="14"/>
      <c r="F14" s="15"/>
      <c r="G14" s="16"/>
      <c r="H14" s="17"/>
      <c r="I14" s="18"/>
      <c r="J14" s="18"/>
      <c r="K14" s="18"/>
      <c r="L14" s="18"/>
      <c r="M14" s="18"/>
      <c r="N14" s="11"/>
      <c r="O14" s="19"/>
      <c r="P14" s="3"/>
      <c r="Q14" s="3"/>
      <c r="R14" s="3"/>
      <c r="S14" s="3"/>
    </row>
    <row r="15" spans="2:19" ht="15.75" thickBot="1">
      <c r="E15" s="1"/>
      <c r="F15" s="2"/>
      <c r="G15" s="1"/>
      <c r="H15" s="1"/>
      <c r="I15" s="1"/>
      <c r="J15" s="1"/>
      <c r="K15" s="1"/>
      <c r="L15" s="1"/>
      <c r="M15" s="14"/>
      <c r="N15" s="19"/>
      <c r="O15" s="12"/>
      <c r="P15" s="4"/>
      <c r="Q15" s="4"/>
      <c r="R15" s="4"/>
      <c r="S15" s="4"/>
    </row>
    <row r="16" spans="2:19" s="28" customFormat="1" ht="28.5" customHeight="1" thickBot="1">
      <c r="B16" s="20"/>
      <c r="C16" s="20" t="s">
        <v>7</v>
      </c>
      <c r="D16" s="20"/>
      <c r="E16" s="21"/>
      <c r="F16" s="22" t="s">
        <v>8</v>
      </c>
      <c r="G16" s="22" t="s">
        <v>9</v>
      </c>
      <c r="H16" s="22" t="s">
        <v>10</v>
      </c>
      <c r="I16" s="22" t="s">
        <v>11</v>
      </c>
      <c r="J16" s="22" t="s">
        <v>12</v>
      </c>
      <c r="K16" s="22" t="s">
        <v>13</v>
      </c>
      <c r="L16" s="23" t="s">
        <v>14</v>
      </c>
      <c r="M16" s="51"/>
      <c r="N16" s="24"/>
      <c r="O16" s="25" t="s">
        <v>15</v>
      </c>
      <c r="P16" s="25" t="s">
        <v>16</v>
      </c>
      <c r="Q16" s="26"/>
      <c r="R16" s="25" t="s">
        <v>17</v>
      </c>
      <c r="S16" s="27"/>
    </row>
    <row r="17" spans="2:19" ht="15">
      <c r="B17" s="29">
        <f>+G10</f>
        <v>45882</v>
      </c>
      <c r="C17" s="60">
        <f>+$G$11+$G$12</f>
        <v>0.53249999999999997</v>
      </c>
      <c r="D17" s="62">
        <f>+B17</f>
        <v>45882</v>
      </c>
      <c r="E17" s="30"/>
      <c r="F17" s="31">
        <f>+G10</f>
        <v>45882</v>
      </c>
      <c r="G17" s="32">
        <f>G9</f>
        <v>100000</v>
      </c>
      <c r="H17" s="33"/>
      <c r="I17" s="32"/>
      <c r="J17" s="32"/>
      <c r="K17" s="32">
        <f>+G17-J17</f>
        <v>100000</v>
      </c>
      <c r="L17" s="34">
        <f>-G17</f>
        <v>-100000</v>
      </c>
      <c r="M17" s="52"/>
      <c r="N17" s="35"/>
      <c r="O17" s="36"/>
      <c r="P17" s="36"/>
      <c r="Q17" s="37"/>
      <c r="R17" s="37"/>
      <c r="S17" s="4"/>
    </row>
    <row r="18" spans="2:19" ht="15">
      <c r="B18" s="38">
        <f>EDATE(B17, 3)</f>
        <v>45974</v>
      </c>
      <c r="C18" s="60">
        <f>+$G$11+$G$12</f>
        <v>0.53249999999999997</v>
      </c>
      <c r="D18" s="62">
        <f t="shared" ref="D18:D25" si="0">+B18</f>
        <v>45974</v>
      </c>
      <c r="E18" s="30"/>
      <c r="F18" s="39">
        <f>+D18</f>
        <v>45974</v>
      </c>
      <c r="G18" s="32">
        <f t="shared" ref="G18:G25" si="1">+K17</f>
        <v>100000</v>
      </c>
      <c r="H18" s="55">
        <f>+D18-D17</f>
        <v>92</v>
      </c>
      <c r="I18" s="32">
        <f>+G18*($G$11+$G$12)*(H18)/365</f>
        <v>13421.917808219177</v>
      </c>
      <c r="J18" s="32"/>
      <c r="K18" s="32">
        <f>+G18-J18</f>
        <v>100000</v>
      </c>
      <c r="L18" s="34">
        <f>+I18+J18</f>
        <v>13421.917808219177</v>
      </c>
      <c r="M18" s="52"/>
      <c r="N18" s="35"/>
      <c r="O18" s="40">
        <f>+L18/(1+$L$9)^((P18)/365)</f>
        <v>11833.129825573069</v>
      </c>
      <c r="P18" s="41">
        <f>+F18-$G$10</f>
        <v>92</v>
      </c>
      <c r="Q18" s="37"/>
      <c r="R18" s="42">
        <f>+(O18/$O$26)*P18</f>
        <v>10.886479461384553</v>
      </c>
      <c r="S18" s="4"/>
    </row>
    <row r="19" spans="2:19" ht="15">
      <c r="B19" s="38">
        <f t="shared" ref="B19:B23" si="2">EDATE(B18, 3)</f>
        <v>46066</v>
      </c>
      <c r="C19" s="60">
        <f>+$G$11+$G$12</f>
        <v>0.53249999999999997</v>
      </c>
      <c r="D19" s="62">
        <f t="shared" si="0"/>
        <v>46066</v>
      </c>
      <c r="E19" s="30"/>
      <c r="F19" s="39">
        <f t="shared" ref="F19:F25" si="3">+D19</f>
        <v>46066</v>
      </c>
      <c r="G19" s="32">
        <f>+K18</f>
        <v>100000</v>
      </c>
      <c r="H19" s="55">
        <f>+D19-D18</f>
        <v>92</v>
      </c>
      <c r="I19" s="32">
        <f>+G19*($G$11+$G$12)*(H19)/365</f>
        <v>13421.917808219177</v>
      </c>
      <c r="J19" s="32">
        <f>G9*0.15</f>
        <v>15000</v>
      </c>
      <c r="K19" s="32">
        <f>+G19-J19</f>
        <v>85000</v>
      </c>
      <c r="L19" s="34">
        <f>+I19+J19</f>
        <v>28421.917808219179</v>
      </c>
      <c r="M19" s="52"/>
      <c r="N19" s="35"/>
      <c r="O19" s="40">
        <f>+L19/(1+$L$9)^((P19)/365)</f>
        <v>22091.412644064079</v>
      </c>
      <c r="P19" s="41">
        <f t="shared" ref="P19:P25" si="4">+F19-$G$10</f>
        <v>184</v>
      </c>
      <c r="Q19" s="37"/>
      <c r="R19" s="42">
        <f>+(O19/$O$26)*P19</f>
        <v>40.648199346689331</v>
      </c>
      <c r="S19" s="4"/>
    </row>
    <row r="20" spans="2:19" ht="15">
      <c r="B20" s="38">
        <f>EDATE(B19, 3)</f>
        <v>46155</v>
      </c>
      <c r="C20" s="60">
        <f t="shared" ref="C20:C25" si="5">+$G$11+$G$12</f>
        <v>0.53249999999999997</v>
      </c>
      <c r="D20" s="62">
        <f t="shared" si="0"/>
        <v>46155</v>
      </c>
      <c r="E20" s="30"/>
      <c r="F20" s="39">
        <f t="shared" si="3"/>
        <v>46155</v>
      </c>
      <c r="G20" s="32">
        <f>+K19</f>
        <v>85000</v>
      </c>
      <c r="H20" s="55">
        <f>+D20-D19</f>
        <v>89</v>
      </c>
      <c r="I20" s="32">
        <f>+G20*($G$11+$G$12)*(H20)/365</f>
        <v>11036.609589041096</v>
      </c>
      <c r="J20" s="32"/>
      <c r="K20" s="32">
        <f t="shared" ref="K20:K25" si="6">+G20-J20</f>
        <v>85000</v>
      </c>
      <c r="L20" s="34">
        <f t="shared" ref="L19:L25" si="7">+I20+J20</f>
        <v>11036.609589041096</v>
      </c>
      <c r="M20" s="52"/>
      <c r="N20" s="35"/>
      <c r="O20" s="40">
        <f>+L20/(1+$L$9)^((P20)/365)</f>
        <v>7594.0775195385522</v>
      </c>
      <c r="P20" s="41">
        <f t="shared" si="4"/>
        <v>273</v>
      </c>
      <c r="Q20" s="37"/>
      <c r="R20" s="42">
        <f>+(O20/$O$26)*P20</f>
        <v>20.731831669964585</v>
      </c>
      <c r="S20" s="4"/>
    </row>
    <row r="21" spans="2:19" ht="15">
      <c r="B21" s="38">
        <f t="shared" ref="B21:B25" si="8">EDATE(B20, 3)</f>
        <v>46247</v>
      </c>
      <c r="C21" s="60">
        <f t="shared" si="5"/>
        <v>0.53249999999999997</v>
      </c>
      <c r="D21" s="62">
        <f t="shared" si="0"/>
        <v>46247</v>
      </c>
      <c r="E21" s="30"/>
      <c r="F21" s="39">
        <f t="shared" si="3"/>
        <v>46247</v>
      </c>
      <c r="G21" s="32">
        <f t="shared" si="1"/>
        <v>85000</v>
      </c>
      <c r="H21" s="55">
        <f>+D21-D20</f>
        <v>92</v>
      </c>
      <c r="I21" s="32">
        <f>+G21*($G$11+$G$12)*(H21)/365</f>
        <v>11408.630136986301</v>
      </c>
      <c r="J21" s="32">
        <f>G9*0.25</f>
        <v>25000</v>
      </c>
      <c r="K21" s="32">
        <f t="shared" si="6"/>
        <v>60000</v>
      </c>
      <c r="L21" s="34">
        <f t="shared" si="7"/>
        <v>36408.630136986299</v>
      </c>
      <c r="M21" s="52"/>
      <c r="N21" s="35"/>
      <c r="O21" s="40">
        <f>+L21/(1+$L$9)^((P21)/365)</f>
        <v>22086.593566490443</v>
      </c>
      <c r="P21" s="41">
        <f t="shared" si="4"/>
        <v>365</v>
      </c>
      <c r="Q21" s="37"/>
      <c r="R21" s="42">
        <f>+(O21/$O$26)*P21</f>
        <v>80.616066679547018</v>
      </c>
      <c r="S21" s="4"/>
    </row>
    <row r="22" spans="2:19" ht="15">
      <c r="B22" s="38">
        <f t="shared" si="8"/>
        <v>46339</v>
      </c>
      <c r="C22" s="60">
        <f t="shared" si="5"/>
        <v>0.53249999999999997</v>
      </c>
      <c r="D22" s="62">
        <f t="shared" si="0"/>
        <v>46339</v>
      </c>
      <c r="E22" s="30"/>
      <c r="F22" s="39">
        <f t="shared" si="3"/>
        <v>46339</v>
      </c>
      <c r="G22" s="32">
        <f t="shared" si="1"/>
        <v>60000</v>
      </c>
      <c r="H22" s="55">
        <f>+D22-D21</f>
        <v>92</v>
      </c>
      <c r="I22" s="32">
        <f>+G22*($G$11+$G$12)*(H22)/365</f>
        <v>8053.1506849315065</v>
      </c>
      <c r="J22" s="32"/>
      <c r="K22" s="32">
        <f t="shared" si="6"/>
        <v>60000</v>
      </c>
      <c r="L22" s="34">
        <f t="shared" si="7"/>
        <v>8053.1506849315065</v>
      </c>
      <c r="M22" s="52"/>
      <c r="N22" s="35"/>
      <c r="O22" s="40">
        <f>+L22/(1+$L$9)^((P22)/365)</f>
        <v>4307.0040497587652</v>
      </c>
      <c r="P22" s="41">
        <f t="shared" si="4"/>
        <v>457</v>
      </c>
      <c r="Q22" s="37"/>
      <c r="R22" s="42">
        <f>+(O22/$O$26)*P22</f>
        <v>19.683008546916117</v>
      </c>
      <c r="S22" s="4"/>
    </row>
    <row r="23" spans="2:19" ht="15">
      <c r="B23" s="38">
        <f t="shared" si="8"/>
        <v>46431</v>
      </c>
      <c r="C23" s="60">
        <f t="shared" si="5"/>
        <v>0.53249999999999997</v>
      </c>
      <c r="D23" s="62">
        <f>+B23+2</f>
        <v>46433</v>
      </c>
      <c r="E23" s="30"/>
      <c r="F23" s="39">
        <f t="shared" si="3"/>
        <v>46433</v>
      </c>
      <c r="G23" s="32">
        <f t="shared" si="1"/>
        <v>60000</v>
      </c>
      <c r="H23" s="55">
        <f>+D23-D22</f>
        <v>94</v>
      </c>
      <c r="I23" s="32">
        <f>+G23*($G$11+$G$12)*(H23)/365</f>
        <v>8228.2191780821922</v>
      </c>
      <c r="J23" s="32">
        <f>G9*0.25</f>
        <v>25000</v>
      </c>
      <c r="K23" s="32">
        <f t="shared" si="6"/>
        <v>35000</v>
      </c>
      <c r="L23" s="34">
        <f t="shared" si="7"/>
        <v>33228.219178082189</v>
      </c>
      <c r="M23" s="52"/>
      <c r="N23" s="35"/>
      <c r="O23" s="40">
        <f>+L23/(1+$L$9)^((P23)/365)</f>
        <v>15624.715568356307</v>
      </c>
      <c r="P23" s="41">
        <f t="shared" si="4"/>
        <v>551</v>
      </c>
      <c r="Q23" s="37"/>
      <c r="R23" s="42">
        <f>+(O23/$O$26)*P23</f>
        <v>86.092182954494831</v>
      </c>
      <c r="S23" s="4"/>
    </row>
    <row r="24" spans="2:19" ht="15">
      <c r="B24" s="38">
        <f t="shared" si="8"/>
        <v>46520</v>
      </c>
      <c r="C24" s="60">
        <f t="shared" si="5"/>
        <v>0.53249999999999997</v>
      </c>
      <c r="D24" s="62">
        <f t="shared" si="0"/>
        <v>46520</v>
      </c>
      <c r="E24" s="30"/>
      <c r="F24" s="39">
        <f t="shared" si="3"/>
        <v>46520</v>
      </c>
      <c r="G24" s="32">
        <f t="shared" si="1"/>
        <v>35000</v>
      </c>
      <c r="H24" s="55">
        <f>+D24-D23</f>
        <v>87</v>
      </c>
      <c r="I24" s="32">
        <f>+G24*($G$11+$G$12)*(H24)/365</f>
        <v>4442.3630136986303</v>
      </c>
      <c r="J24" s="32"/>
      <c r="K24" s="32">
        <f t="shared" si="6"/>
        <v>35000</v>
      </c>
      <c r="L24" s="34">
        <f t="shared" si="7"/>
        <v>4442.3630136986303</v>
      </c>
      <c r="M24" s="52"/>
      <c r="N24" s="35"/>
      <c r="O24" s="40">
        <f>+L24/(1+$L$9)^((P24)/365)</f>
        <v>1854.2905757496685</v>
      </c>
      <c r="P24" s="41">
        <f t="shared" si="4"/>
        <v>638</v>
      </c>
      <c r="Q24" s="37"/>
      <c r="R24" s="42">
        <f>+(O24/$O$26)*P24</f>
        <v>11.830373897035317</v>
      </c>
      <c r="S24" s="4"/>
    </row>
    <row r="25" spans="2:19" ht="15.75" thickBot="1">
      <c r="B25" s="38">
        <f t="shared" si="8"/>
        <v>46612</v>
      </c>
      <c r="C25" s="60">
        <f t="shared" si="5"/>
        <v>0.53249999999999997</v>
      </c>
      <c r="D25" s="62">
        <f t="shared" si="0"/>
        <v>46612</v>
      </c>
      <c r="E25" s="30"/>
      <c r="F25" s="39">
        <f t="shared" si="3"/>
        <v>46612</v>
      </c>
      <c r="G25" s="32">
        <f t="shared" si="1"/>
        <v>35000</v>
      </c>
      <c r="H25" s="55">
        <f>+D25-D24</f>
        <v>92</v>
      </c>
      <c r="I25" s="32">
        <f>+G25*($G$11+$G$12)*(H25)/365</f>
        <v>4697.6712328767126</v>
      </c>
      <c r="J25" s="32">
        <f>G9*0.35</f>
        <v>35000</v>
      </c>
      <c r="K25" s="32">
        <f t="shared" si="6"/>
        <v>0</v>
      </c>
      <c r="L25" s="34">
        <f t="shared" si="7"/>
        <v>39697.67123287671</v>
      </c>
      <c r="M25" s="52"/>
      <c r="N25" s="35"/>
      <c r="O25" s="40">
        <f>+L25/(1+$L$9)^((P25)/365)</f>
        <v>14608.776049694139</v>
      </c>
      <c r="P25" s="41">
        <f t="shared" si="4"/>
        <v>730</v>
      </c>
      <c r="Q25" s="37"/>
      <c r="R25" s="42">
        <f>+(O25/$O$26)*P25</f>
        <v>106.64406537688184</v>
      </c>
      <c r="S25" s="4"/>
    </row>
    <row r="26" spans="2:19" ht="15.75" thickBot="1">
      <c r="B26" s="43"/>
      <c r="C26" s="61"/>
      <c r="D26" s="63"/>
      <c r="E26" s="1"/>
      <c r="F26" s="74" t="s">
        <v>18</v>
      </c>
      <c r="G26" s="75"/>
      <c r="H26" s="75"/>
      <c r="I26" s="56">
        <f>SUM(I18:I25)</f>
        <v>74710.479452054802</v>
      </c>
      <c r="J26" s="56">
        <f>SUM(J18:J25)</f>
        <v>100000</v>
      </c>
      <c r="K26" s="56"/>
      <c r="L26" s="57">
        <f>SUM(L17:L25)</f>
        <v>74710.479452054788</v>
      </c>
      <c r="M26" s="53"/>
      <c r="N26" s="44"/>
      <c r="O26" s="45">
        <f>SUM(O18:O25)</f>
        <v>99999.999799224999</v>
      </c>
      <c r="P26" s="37"/>
      <c r="Q26" s="37"/>
      <c r="R26" s="37"/>
      <c r="S26" s="4"/>
    </row>
    <row r="27" spans="2:19" ht="15">
      <c r="E27" s="1"/>
      <c r="F27" s="1"/>
      <c r="G27" s="1"/>
      <c r="H27" s="1"/>
      <c r="I27" s="1"/>
      <c r="J27" s="1"/>
      <c r="K27" s="1"/>
      <c r="L27" s="1"/>
      <c r="M27" s="1"/>
      <c r="N27" s="3"/>
      <c r="O27" s="4"/>
      <c r="P27" s="4"/>
      <c r="Q27" s="4"/>
      <c r="R27" s="4"/>
      <c r="S27" s="4"/>
    </row>
    <row r="28" spans="2:19" ht="15" customHeight="1">
      <c r="E28" s="1"/>
      <c r="F28" s="72" t="s">
        <v>22</v>
      </c>
      <c r="G28" s="72"/>
      <c r="H28" s="72"/>
      <c r="I28" s="72"/>
      <c r="J28" s="72"/>
      <c r="K28" s="72"/>
      <c r="L28" s="72"/>
      <c r="M28" s="1"/>
      <c r="N28" s="1"/>
      <c r="O28" s="54"/>
      <c r="P28" s="54"/>
      <c r="Q28" s="54"/>
      <c r="R28" s="4"/>
      <c r="S28" s="4"/>
    </row>
    <row r="29" spans="2:19" ht="15">
      <c r="E29" s="1"/>
      <c r="F29" s="72"/>
      <c r="G29" s="72"/>
      <c r="H29" s="72"/>
      <c r="I29" s="72"/>
      <c r="J29" s="72"/>
      <c r="K29" s="72"/>
      <c r="L29" s="72"/>
      <c r="M29" s="1"/>
      <c r="N29" s="1"/>
      <c r="O29" s="54"/>
      <c r="P29" s="54"/>
      <c r="Q29" s="54"/>
      <c r="R29" s="4"/>
      <c r="S29" s="4"/>
    </row>
    <row r="30" spans="2:19" ht="15">
      <c r="E30" s="1"/>
      <c r="F30" s="72"/>
      <c r="G30" s="72"/>
      <c r="H30" s="72"/>
      <c r="I30" s="72"/>
      <c r="J30" s="72"/>
      <c r="K30" s="72"/>
      <c r="L30" s="72"/>
      <c r="M30" s="1"/>
      <c r="N30" s="1"/>
      <c r="O30" s="54"/>
      <c r="P30" s="54"/>
      <c r="Q30" s="54"/>
      <c r="R30" s="4"/>
      <c r="S30" s="4"/>
    </row>
    <row r="31" spans="2:19" ht="15">
      <c r="E31" s="1"/>
      <c r="F31" s="2"/>
      <c r="G31" s="1"/>
      <c r="H31" s="1"/>
      <c r="I31" s="1"/>
      <c r="J31" s="1"/>
      <c r="K31" s="1"/>
      <c r="L31" s="1"/>
      <c r="M31" s="1"/>
      <c r="N31" s="3"/>
      <c r="O31" s="4"/>
      <c r="P31" s="4"/>
      <c r="Q31" s="4"/>
      <c r="R31" s="4"/>
      <c r="S31" s="4"/>
    </row>
    <row r="32" spans="2:19" ht="15">
      <c r="E32" s="1"/>
      <c r="F32" s="2"/>
      <c r="G32" s="1"/>
      <c r="H32" s="1"/>
      <c r="I32" s="1"/>
      <c r="J32" s="1"/>
      <c r="K32" s="1"/>
      <c r="L32" s="1"/>
      <c r="M32" s="1"/>
      <c r="N32" s="3"/>
      <c r="O32" s="4"/>
      <c r="P32" s="4"/>
      <c r="Q32" s="4"/>
      <c r="R32" s="4"/>
      <c r="S32" s="4"/>
    </row>
    <row r="33" spans="5:19" ht="15">
      <c r="E33" s="1"/>
      <c r="F33" s="2"/>
      <c r="G33" s="1"/>
      <c r="H33" s="1"/>
      <c r="I33" s="1"/>
      <c r="J33" s="1"/>
      <c r="K33" s="1"/>
      <c r="L33" s="1"/>
      <c r="M33" s="1"/>
      <c r="N33" s="3"/>
      <c r="O33" s="4"/>
      <c r="P33" s="4"/>
      <c r="Q33" s="4"/>
      <c r="R33" s="4"/>
      <c r="S33" s="4"/>
    </row>
    <row r="34" spans="5:19" ht="15">
      <c r="E34" s="1"/>
      <c r="F34" s="2"/>
      <c r="G34" s="1"/>
      <c r="H34" s="1"/>
      <c r="I34" s="1"/>
      <c r="J34" s="1"/>
      <c r="K34" s="1"/>
      <c r="L34" s="1"/>
      <c r="M34" s="1"/>
      <c r="N34" s="3"/>
      <c r="O34" s="4"/>
      <c r="P34" s="4"/>
      <c r="Q34" s="4"/>
      <c r="R34" s="4"/>
      <c r="S34" s="4"/>
    </row>
    <row r="35" spans="5:19" ht="15">
      <c r="E35" s="1"/>
      <c r="F35" s="2"/>
      <c r="G35" s="1"/>
      <c r="H35" s="1"/>
      <c r="I35" s="1"/>
      <c r="J35" s="1"/>
      <c r="K35" s="1"/>
      <c r="L35" s="1"/>
      <c r="M35" s="1"/>
      <c r="N35" s="3"/>
      <c r="O35" s="4"/>
      <c r="P35" s="4"/>
      <c r="Q35" s="4"/>
      <c r="R35" s="4"/>
      <c r="S35" s="4"/>
    </row>
    <row r="36" spans="5:19" ht="15">
      <c r="E36" s="1"/>
      <c r="F36" s="2"/>
      <c r="G36" s="1"/>
      <c r="H36" s="1"/>
      <c r="I36" s="1"/>
      <c r="J36" s="1"/>
      <c r="K36" s="1"/>
      <c r="L36" s="1"/>
      <c r="M36" s="1"/>
      <c r="N36" s="3"/>
      <c r="O36" s="4"/>
      <c r="P36" s="4"/>
      <c r="Q36" s="4"/>
      <c r="R36" s="4"/>
      <c r="S36" s="4"/>
    </row>
    <row r="37" spans="5:19" ht="15">
      <c r="E37" s="1"/>
      <c r="F37" s="2"/>
      <c r="G37" s="1"/>
      <c r="H37" s="1"/>
      <c r="I37" s="1"/>
      <c r="J37" s="1"/>
      <c r="K37" s="1"/>
      <c r="L37" s="1"/>
      <c r="M37" s="1"/>
      <c r="N37" s="3"/>
      <c r="O37" s="4"/>
      <c r="P37" s="4"/>
      <c r="Q37" s="4"/>
      <c r="R37" s="4"/>
      <c r="S37" s="4"/>
    </row>
    <row r="38" spans="5:19" ht="15">
      <c r="E38" s="1"/>
      <c r="F38" s="2"/>
      <c r="G38" s="1"/>
      <c r="H38" s="1"/>
      <c r="I38" s="1"/>
      <c r="J38" s="1"/>
      <c r="K38" s="1"/>
      <c r="L38" s="1"/>
      <c r="M38" s="1"/>
      <c r="N38" s="3"/>
      <c r="O38" s="4"/>
      <c r="P38" s="4"/>
      <c r="Q38" s="4"/>
      <c r="R38" s="4"/>
      <c r="S38" s="4"/>
    </row>
    <row r="39" spans="5:19" ht="15" customHeight="1"/>
    <row r="40" spans="5:19" ht="15" customHeight="1"/>
    <row r="41" spans="5:19" ht="15" customHeight="1"/>
    <row r="42" spans="5:19" ht="15" customHeight="1"/>
    <row r="43" spans="5:19" ht="15" customHeight="1"/>
    <row r="44" spans="5:19" ht="15" customHeight="1"/>
    <row r="45" spans="5:19" ht="15" customHeight="1"/>
  </sheetData>
  <sheetProtection algorithmName="SHA-512" hashValue="Gn82aOuRchSe3KQ9wR5xmYtWOoAwic6N0w/TiD3JFA/aRlQdQ4+ZGpeIYus71yApwfWVmck/2BIXNRbY7hi+Cw==" saltValue="L8Y1NGQ8V6aTrwVAZPmlFA==" spinCount="100000" sheet="1" selectLockedCells="1"/>
  <mergeCells count="7">
    <mergeCell ref="F28:L30"/>
    <mergeCell ref="J9:K9"/>
    <mergeCell ref="J10:K10"/>
    <mergeCell ref="J11:K11"/>
    <mergeCell ref="J12:K12"/>
    <mergeCell ref="J13:K13"/>
    <mergeCell ref="F26:H26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SERIE I</vt:lpstr>
      <vt:lpstr>'ON SERIE 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Lucila Mazzeo</cp:lastModifiedBy>
  <dcterms:created xsi:type="dcterms:W3CDTF">2020-07-21T12:19:40Z</dcterms:created>
  <dcterms:modified xsi:type="dcterms:W3CDTF">2025-08-11T15:24:07Z</dcterms:modified>
</cp:coreProperties>
</file>