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YPF Luz\ON Clase XXI\"/>
    </mc:Choice>
  </mc:AlternateContent>
  <xr:revisionPtr revIDLastSave="0" documentId="13_ncr:1_{FD07442D-58BC-4E0E-8446-675A6D43474C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ON YPF LUZ XXI" sheetId="3" r:id="rId1"/>
  </sheets>
  <definedNames>
    <definedName name="_xlnm.Print_Area" localSheetId="0">'ON YPF LUZ XXI'!$A$7:$O$17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3" l="1"/>
  <c r="O19" i="3"/>
  <c r="O20" i="3"/>
  <c r="O21" i="3"/>
  <c r="O17" i="3"/>
  <c r="O16" i="3" l="1"/>
  <c r="D20" i="3"/>
  <c r="B16" i="3" l="1"/>
  <c r="B17" i="3" s="1"/>
  <c r="B18" i="3" s="1"/>
  <c r="B19" i="3" s="1"/>
  <c r="B20" i="3" s="1"/>
  <c r="B21" i="3" s="1"/>
  <c r="D15" i="3"/>
  <c r="D16" i="3" l="1"/>
  <c r="B15" i="3"/>
  <c r="F15" i="3" l="1"/>
  <c r="J16" i="3"/>
  <c r="G15" i="3"/>
  <c r="C15" i="3"/>
  <c r="L15" i="3" l="1"/>
  <c r="K15" i="3"/>
  <c r="G16" i="3" s="1"/>
  <c r="F16" i="3"/>
  <c r="D17" i="3"/>
  <c r="K16" i="3" l="1"/>
  <c r="G17" i="3" s="1"/>
  <c r="I16" i="3"/>
  <c r="F17" i="3"/>
  <c r="D18" i="3"/>
  <c r="I17" i="3" l="1"/>
  <c r="L17" i="3" s="1"/>
  <c r="K17" i="3"/>
  <c r="G18" i="3" s="1"/>
  <c r="L16" i="3"/>
  <c r="F18" i="3"/>
  <c r="D19" i="3"/>
  <c r="I18" i="3" l="1"/>
  <c r="L18" i="3" s="1"/>
  <c r="K18" i="3"/>
  <c r="G19" i="3" s="1"/>
  <c r="F19" i="3"/>
  <c r="I19" i="3" l="1"/>
  <c r="K19" i="3"/>
  <c r="G20" i="3" s="1"/>
  <c r="F20" i="3"/>
  <c r="D21" i="3"/>
  <c r="I20" i="3" l="1"/>
  <c r="L20" i="3" s="1"/>
  <c r="K20" i="3"/>
  <c r="G21" i="3" s="1"/>
  <c r="L19" i="3"/>
  <c r="F21" i="3"/>
  <c r="J21" i="3" l="1"/>
  <c r="J22" i="3" s="1"/>
  <c r="I21" i="3"/>
  <c r="K21" i="3"/>
  <c r="L21" i="3" l="1"/>
  <c r="I22" i="3"/>
  <c r="C21" i="3"/>
  <c r="C20" i="3"/>
  <c r="C19" i="3"/>
  <c r="C18" i="3"/>
  <c r="L22" i="3" l="1"/>
  <c r="L9" i="3"/>
  <c r="L10" i="3" s="1"/>
  <c r="N16" i="3" l="1"/>
  <c r="N19" i="3"/>
  <c r="N20" i="3"/>
  <c r="N21" i="3"/>
  <c r="N18" i="3"/>
  <c r="N17" i="3"/>
  <c r="P16" i="3" l="1"/>
  <c r="N22" i="3"/>
  <c r="P19" i="3"/>
  <c r="P17" i="3"/>
  <c r="P21" i="3" l="1"/>
  <c r="P18" i="3"/>
  <c r="L12" i="3" s="1"/>
  <c r="P20" i="3"/>
  <c r="L11" i="3" l="1"/>
</calcChain>
</file>

<file path=xl/sharedStrings.xml><?xml version="1.0" encoding="utf-8"?>
<sst xmlns="http://schemas.openxmlformats.org/spreadsheetml/2006/main" count="23" uniqueCount="23">
  <si>
    <t>VN (USD)</t>
  </si>
  <si>
    <t>TIR</t>
  </si>
  <si>
    <t>Fecha de Emisión y Liquidación</t>
  </si>
  <si>
    <t>TNA (90 d)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</si>
  <si>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</si>
  <si>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</si>
  <si>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</si>
  <si>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</si>
  <si>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</si>
  <si>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</si>
  <si>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</si>
  <si>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</si>
  <si>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</si>
  <si>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</si>
  <si>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</si>
  <si>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</si>
  <si>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</si>
  <si>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</si>
  <si>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</si>
  <si>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</si>
  <si>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</si>
  <si>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MEP - 24 meses</t>
  </si>
  <si>
    <t>ON YPF Energía Eléctrica S.A. Clase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</si>
</sst>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73" fontId="4" fillId="5" borderId="0" xfId="0" applyNumberFormat="1" applyFont="1" applyFill="1" applyProtection="1">
      <protection hidden="1"/>
    </xf>
    <xf numFmtId="173" fontId="4" fillId="5" borderId="9" xfId="0" applyNumberFormat="1" applyFont="1" applyFill="1" applyBorder="1" applyProtection="1">
      <protection hidden="1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10">
    <cellStyle name="Millares" xfId="1" builtinId="3"/>
    <cellStyle name="Millares 2" xfId="8" xr:uid="{C67E11FD-5702-4BB4-819D-5BF4DE665E15}"/>
    <cellStyle name="Millares 3" xfId="9" xr:uid="{BE2F7EAD-FBEE-4905-A926-D12B49EF6299}"/>
    <cellStyle name="Moneda" xfId="2" builtinId="4"/>
    <cellStyle name="Normal" xfId="0" builtinId="0"/>
    <cellStyle name="Normal 2" xfId="4" xr:uid="{EBC8AC57-EE1D-40F8-A643-B7F21F4937FD}"/>
    <cellStyle name="Normal 3" xfId="6" xr:uid="{9A06CBF6-554E-4C15-800B-A7D2573F51DE}"/>
    <cellStyle name="Normal 4" xfId="7" xr:uid="{EF05260A-A6A7-4959-BC9F-E9D8F37B7DCF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1259416</xdr:colOff>
      <xdr:row>1</xdr:row>
      <xdr:rowOff>96763</xdr:rowOff>
    </xdr:from>
    <xdr:to>
      <xdr:col>11</xdr:col>
      <xdr:colOff>1123852</xdr:colOff>
      <xdr:row>3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3" y="477763"/>
          <a:ext cx="1250851" cy="455647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1</xdr:row>
      <xdr:rowOff>1</xdr:rowOff>
    </xdr:from>
    <xdr:to>
      <xdr:col>5</xdr:col>
      <xdr:colOff>1037167</xdr:colOff>
      <xdr:row>4</xdr:row>
      <xdr:rowOff>101449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74127-A59F-4E29-A77A-5C456EF14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8418" y="190501"/>
          <a:ext cx="1037166" cy="67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79"/>
  <sheetViews>
    <sheetView showGridLines="0" tabSelected="1" topLeftCell="E1" zoomScale="90" zoomScaleNormal="90" workbookViewId="0">
      <selection activeCell="G9" sqref="G9"/>
    </sheetView>
  </sheetViews>
  <sheetFormatPr baseColWidth="10" defaultColWidth="9.140625" defaultRowHeight="0" customHeight="1" zeroHeight="1"/>
  <cols>
    <col min="1" max="1" width="22.42578125" style="5" hidden="1" customWidth="1"/>
    <col min="2" max="2" width="37" style="5" hidden="1" customWidth="1"/>
    <col min="3" max="3" width="15.42578125" style="5" hidden="1" customWidth="1"/>
    <col min="4" max="4" width="34.140625" style="5" hidden="1" customWidth="1"/>
    <col min="5" max="5" width="15.28515625" style="40" customWidth="1"/>
    <col min="6" max="6" width="34.85546875" style="41" customWidth="1"/>
    <col min="7" max="7" width="16.7109375" style="40" bestFit="1" customWidth="1"/>
    <col min="8" max="8" width="13.42578125" style="40" bestFit="1" customWidth="1"/>
    <col min="9" max="9" width="14.85546875" style="40" bestFit="1" customWidth="1"/>
    <col min="10" max="10" width="18.42578125" style="40" bestFit="1" customWidth="1"/>
    <col min="11" max="11" width="20.85546875" style="40" bestFit="1" customWidth="1"/>
    <col min="12" max="12" width="18" style="40" customWidth="1"/>
    <col min="13" max="13" width="10.42578125" style="42" customWidth="1"/>
    <col min="14" max="14" width="13.5703125" style="5" hidden="1" customWidth="1"/>
    <col min="15" max="15" width="12.85546875" style="5" hidden="1" customWidth="1"/>
    <col min="16" max="16" width="14.5703125" style="53" hidden="1" customWidth="1"/>
    <col min="17" max="17" width="10.42578125" style="5" customWidth="1"/>
    <col min="18" max="16384" width="9.140625" style="5"/>
  </cols>
  <sheetData>
    <row r="1" spans="1:16" ht="15"/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22</v>
      </c>
      <c r="G6" s="6"/>
      <c r="H6" s="6"/>
      <c r="I6" s="6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21</v>
      </c>
      <c r="G7" s="2"/>
      <c r="H7" s="2"/>
      <c r="I7" s="2"/>
      <c r="J7" s="2"/>
      <c r="K7" s="2"/>
      <c r="L7" s="2"/>
      <c r="M7" s="4"/>
    </row>
    <row r="8" spans="1:16" ht="10.5" customHeight="1">
      <c r="A8" s="1"/>
      <c r="B8" s="1"/>
      <c r="C8" s="1"/>
      <c r="D8" s="1"/>
      <c r="E8" s="2"/>
      <c r="F8" s="3"/>
      <c r="G8" s="2"/>
      <c r="H8" s="2"/>
      <c r="I8" s="2"/>
      <c r="J8" s="2"/>
      <c r="K8" s="2"/>
      <c r="L8" s="2"/>
      <c r="M8" s="4"/>
    </row>
    <row r="9" spans="1:16" ht="15">
      <c r="A9" s="1"/>
      <c r="B9" s="1"/>
      <c r="C9" s="1"/>
      <c r="D9" s="1"/>
      <c r="E9" s="2"/>
      <c r="F9" s="7" t="s">
        <v>0</v>
      </c>
      <c r="G9" s="8">
        <v>1000</v>
      </c>
      <c r="H9" s="2"/>
      <c r="I9" s="2"/>
      <c r="J9" s="56" t="s">
        <v>1</v>
      </c>
      <c r="K9" s="56"/>
      <c r="L9" s="9">
        <f>+XIRR(L15:L21,F15:F21)</f>
        <v>6.874707639217377E-2</v>
      </c>
      <c r="M9" s="10"/>
    </row>
    <row r="10" spans="1:16" ht="15">
      <c r="A10" s="1"/>
      <c r="B10" s="1"/>
      <c r="C10" s="1"/>
      <c r="D10" s="1"/>
      <c r="E10" s="2"/>
      <c r="F10" s="7" t="s">
        <v>2</v>
      </c>
      <c r="G10" s="11">
        <v>45797</v>
      </c>
      <c r="H10" s="2"/>
      <c r="I10" s="2"/>
      <c r="J10" s="56" t="s">
        <v>3</v>
      </c>
      <c r="K10" s="56"/>
      <c r="L10" s="9">
        <f>+(((1+L9)^(1/4)-1)*4)</f>
        <v>6.7042645265353862E-2</v>
      </c>
      <c r="M10" s="12"/>
    </row>
    <row r="11" spans="1:16" ht="15">
      <c r="A11" s="1"/>
      <c r="B11" s="1"/>
      <c r="C11" s="1"/>
      <c r="D11" s="1"/>
      <c r="E11" s="2"/>
      <c r="F11" s="47" t="s">
        <v>4</v>
      </c>
      <c r="G11" s="46">
        <v>6.7500000000000004E-2</v>
      </c>
      <c r="H11" s="2"/>
      <c r="I11" s="2"/>
      <c r="J11" s="56" t="s">
        <v>5</v>
      </c>
      <c r="K11" s="56"/>
      <c r="L11" s="13">
        <f>+SUM(P16:P21)/(365/12)</f>
        <v>22.818790977817137</v>
      </c>
      <c r="M11" s="12"/>
    </row>
    <row r="12" spans="1:16" ht="15">
      <c r="A12" s="1"/>
      <c r="B12" s="1"/>
      <c r="C12" s="1"/>
      <c r="D12" s="1"/>
      <c r="E12" s="2"/>
      <c r="F12" s="47" t="s">
        <v>6</v>
      </c>
      <c r="G12" s="14">
        <v>1</v>
      </c>
      <c r="I12" s="6"/>
      <c r="J12" s="56" t="s">
        <v>19</v>
      </c>
      <c r="K12" s="56"/>
      <c r="L12" s="13">
        <f>+SUM(P16:P21)/(365)</f>
        <v>1.9015659148180948</v>
      </c>
      <c r="M12" s="15"/>
      <c r="N12" s="16"/>
    </row>
    <row r="13" spans="1:16" ht="15.75" thickBot="1">
      <c r="A13" s="1"/>
      <c r="B13" s="1"/>
      <c r="C13" s="1"/>
      <c r="D13" s="1"/>
      <c r="E13" s="2"/>
      <c r="F13" s="3"/>
      <c r="G13" s="2"/>
      <c r="H13" s="2"/>
      <c r="I13" s="2"/>
      <c r="J13" s="2"/>
      <c r="K13" s="2"/>
      <c r="L13" s="2"/>
      <c r="M13" s="17"/>
      <c r="N13" s="16"/>
    </row>
    <row r="14" spans="1:16" s="25" customFormat="1" ht="28.5" customHeight="1" thickBot="1">
      <c r="A14" s="18"/>
      <c r="B14" s="19"/>
      <c r="C14" s="19" t="s">
        <v>7</v>
      </c>
      <c r="D14" s="19"/>
      <c r="E14" s="20"/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12</v>
      </c>
      <c r="K14" s="21" t="s">
        <v>13</v>
      </c>
      <c r="L14" s="22" t="s">
        <v>14</v>
      </c>
      <c r="M14" s="23"/>
      <c r="N14" s="24" t="s">
        <v>15</v>
      </c>
      <c r="O14" s="24" t="s">
        <v>16</v>
      </c>
      <c r="P14" s="24" t="s">
        <v>17</v>
      </c>
    </row>
    <row r="15" spans="1:16" ht="15">
      <c r="A15" s="1"/>
      <c r="B15" s="26">
        <f>+G10</f>
        <v>45797</v>
      </c>
      <c r="C15" s="27">
        <f>+$G$11</f>
        <v>6.7500000000000004E-2</v>
      </c>
      <c r="D15" s="26">
        <f>B15</f>
        <v>45797</v>
      </c>
      <c r="F15" s="28">
        <f>+B15</f>
        <v>45797</v>
      </c>
      <c r="G15" s="48">
        <f>+G9</f>
        <v>1000</v>
      </c>
      <c r="H15" s="29"/>
      <c r="I15" s="51"/>
      <c r="J15" s="48"/>
      <c r="K15" s="48">
        <f>+G15-J15</f>
        <v>1000</v>
      </c>
      <c r="L15" s="52">
        <f>-G15*G12</f>
        <v>-1000</v>
      </c>
      <c r="M15" s="30"/>
      <c r="N15" s="31"/>
      <c r="O15" s="31"/>
    </row>
    <row r="16" spans="1:16" ht="15">
      <c r="A16" s="1"/>
      <c r="B16" s="26">
        <f>EDATE(B15,9)</f>
        <v>46073</v>
      </c>
      <c r="C16" s="27">
        <v>6.7500000000000004E-2</v>
      </c>
      <c r="D16" s="26">
        <f t="shared" ref="D16:D21" si="0">B16</f>
        <v>46073</v>
      </c>
      <c r="E16" s="50"/>
      <c r="F16" s="32">
        <f t="shared" ref="F16:F21" si="1">+D16</f>
        <v>46073</v>
      </c>
      <c r="G16" s="48">
        <f>K15</f>
        <v>1000</v>
      </c>
      <c r="H16" s="33">
        <v>270</v>
      </c>
      <c r="I16" s="51">
        <f>G16*$G$11*(H16/360)</f>
        <v>50.625</v>
      </c>
      <c r="J16" s="48">
        <f>+G8</f>
        <v>0</v>
      </c>
      <c r="K16" s="48">
        <f t="shared" ref="K16:K21" si="2">+G16-J16</f>
        <v>1000</v>
      </c>
      <c r="L16" s="52">
        <f t="shared" ref="L16:L19" si="3">+I16+J16</f>
        <v>50.625</v>
      </c>
      <c r="M16" s="30"/>
      <c r="N16" s="34">
        <f>+L16/(1+$L$9)^((O16)/365)</f>
        <v>48.142743450278367</v>
      </c>
      <c r="O16" s="35">
        <f>B16-B15</f>
        <v>276</v>
      </c>
      <c r="P16" s="54">
        <f>+(N16/$N$22)*O16</f>
        <v>13.287397138422556</v>
      </c>
    </row>
    <row r="17" spans="1:16" ht="15">
      <c r="A17" s="1"/>
      <c r="B17" s="26">
        <f>EDATE(B16,3)</f>
        <v>46162</v>
      </c>
      <c r="C17" s="27">
        <v>6.7500000000000004E-2</v>
      </c>
      <c r="D17" s="26">
        <f t="shared" si="0"/>
        <v>46162</v>
      </c>
      <c r="E17" s="50"/>
      <c r="F17" s="32">
        <f t="shared" si="1"/>
        <v>46162</v>
      </c>
      <c r="G17" s="48">
        <f t="shared" ref="G17:G21" si="4">K16</f>
        <v>1000</v>
      </c>
      <c r="H17" s="33">
        <v>90</v>
      </c>
      <c r="I17" s="51">
        <f>G17*$G$11*(H17/360)</f>
        <v>16.875</v>
      </c>
      <c r="J17" s="48">
        <v>0</v>
      </c>
      <c r="K17" s="48">
        <f t="shared" si="2"/>
        <v>1000</v>
      </c>
      <c r="L17" s="52">
        <f t="shared" si="3"/>
        <v>16.875</v>
      </c>
      <c r="M17" s="30"/>
      <c r="N17" s="34">
        <f t="shared" ref="N17:N21" si="5">+L17/(1+$L$9)^((O17)/365)</f>
        <v>15.789516877057416</v>
      </c>
      <c r="O17" s="35">
        <f>+F17-$F$15</f>
        <v>365</v>
      </c>
      <c r="P17" s="54">
        <f>+(N17/$N$22)*O17</f>
        <v>5.7631736367676174</v>
      </c>
    </row>
    <row r="18" spans="1:16" ht="15">
      <c r="A18" s="1"/>
      <c r="B18" s="26">
        <f>EDATE(B17,3)</f>
        <v>46254</v>
      </c>
      <c r="C18" s="27">
        <f>#N/A</f>
        <v>6.7500000000000004E-2</v>
      </c>
      <c r="D18" s="26">
        <f t="shared" si="0"/>
        <v>46254</v>
      </c>
      <c r="E18" s="50"/>
      <c r="F18" s="32">
        <f t="shared" si="1"/>
        <v>46254</v>
      </c>
      <c r="G18" s="48">
        <f t="shared" si="4"/>
        <v>1000</v>
      </c>
      <c r="H18" s="33">
        <v>90</v>
      </c>
      <c r="I18" s="51">
        <f>G18*$G$11*(H18/360)</f>
        <v>16.875</v>
      </c>
      <c r="J18" s="48">
        <v>0</v>
      </c>
      <c r="K18" s="48">
        <f t="shared" si="2"/>
        <v>1000</v>
      </c>
      <c r="L18" s="52">
        <f t="shared" si="3"/>
        <v>16.875</v>
      </c>
      <c r="M18" s="30"/>
      <c r="N18" s="34">
        <f t="shared" si="5"/>
        <v>15.527115186972161</v>
      </c>
      <c r="O18" s="35">
        <f t="shared" ref="O18:O21" si="6">+F18-$F$15</f>
        <v>457</v>
      </c>
      <c r="P18" s="54">
        <f>+(N18/$N$22)*O18</f>
        <v>7.0958916116863859</v>
      </c>
    </row>
    <row r="19" spans="1:16" ht="15">
      <c r="A19" s="1"/>
      <c r="B19" s="26">
        <f>EDATE(B18,3)</f>
        <v>46346</v>
      </c>
      <c r="C19" s="27">
        <f>#N/A</f>
        <v>6.7500000000000004E-2</v>
      </c>
      <c r="D19" s="26">
        <f t="shared" si="0"/>
        <v>46346</v>
      </c>
      <c r="E19" s="50"/>
      <c r="F19" s="32">
        <f t="shared" si="1"/>
        <v>46346</v>
      </c>
      <c r="G19" s="48">
        <f t="shared" si="4"/>
        <v>1000</v>
      </c>
      <c r="H19" s="33">
        <v>90</v>
      </c>
      <c r="I19" s="51">
        <f>G19*$G$11*(H19/360)</f>
        <v>16.875</v>
      </c>
      <c r="J19" s="48">
        <v>0</v>
      </c>
      <c r="K19" s="48">
        <f t="shared" si="2"/>
        <v>1000</v>
      </c>
      <c r="L19" s="52">
        <f t="shared" si="3"/>
        <v>16.875</v>
      </c>
      <c r="M19" s="30"/>
      <c r="N19" s="34">
        <f t="shared" si="5"/>
        <v>15.269074279265221</v>
      </c>
      <c r="O19" s="35">
        <f t="shared" si="6"/>
        <v>549</v>
      </c>
      <c r="P19" s="54">
        <f>+(N19/$N$22)*O19</f>
        <v>8.3827217453411471</v>
      </c>
    </row>
    <row r="20" spans="1:16" ht="15">
      <c r="A20" s="1"/>
      <c r="B20" s="26">
        <f>EDATE(B19,3)</f>
        <v>46438</v>
      </c>
      <c r="C20" s="27">
        <f>#N/A</f>
        <v>6.7500000000000004E-2</v>
      </c>
      <c r="D20" s="26">
        <f>B20+2</f>
        <v>46440</v>
      </c>
      <c r="E20" s="50"/>
      <c r="F20" s="32">
        <f t="shared" si="1"/>
        <v>46440</v>
      </c>
      <c r="G20" s="48">
        <f t="shared" si="4"/>
        <v>1000</v>
      </c>
      <c r="H20" s="33">
        <v>90</v>
      </c>
      <c r="I20" s="51">
        <f>G20*$G$11*(H20/360)</f>
        <v>16.875</v>
      </c>
      <c r="J20" s="48">
        <v>0</v>
      </c>
      <c r="K20" s="48">
        <f t="shared" si="2"/>
        <v>1000</v>
      </c>
      <c r="L20" s="52">
        <f>+I20+J20</f>
        <v>16.875</v>
      </c>
      <c r="M20" s="30"/>
      <c r="N20" s="34">
        <f t="shared" si="5"/>
        <v>15.009852412320617</v>
      </c>
      <c r="O20" s="35">
        <f t="shared" si="6"/>
        <v>643</v>
      </c>
      <c r="P20" s="54">
        <f>+(N20/$N$22)*O20</f>
        <v>9.651335062004966</v>
      </c>
    </row>
    <row r="21" spans="1:16" ht="15.75" thickBot="1">
      <c r="A21" s="1"/>
      <c r="B21" s="26">
        <f>EDATE(B20,3)</f>
        <v>46527</v>
      </c>
      <c r="C21" s="27">
        <f>#N/A</f>
        <v>6.7500000000000004E-2</v>
      </c>
      <c r="D21" s="26">
        <f t="shared" si="0"/>
        <v>46527</v>
      </c>
      <c r="E21" s="50"/>
      <c r="F21" s="32">
        <f t="shared" si="1"/>
        <v>46527</v>
      </c>
      <c r="G21" s="48">
        <f t="shared" si="4"/>
        <v>1000</v>
      </c>
      <c r="H21" s="33">
        <v>90</v>
      </c>
      <c r="I21" s="51">
        <f>G21*$G$11*(H21/360)</f>
        <v>16.875</v>
      </c>
      <c r="J21" s="48">
        <f>+G21</f>
        <v>1000</v>
      </c>
      <c r="K21" s="48">
        <f>+G21-J21</f>
        <v>0</v>
      </c>
      <c r="L21" s="52">
        <f>+I21+J21</f>
        <v>1016.875</v>
      </c>
      <c r="M21" s="30"/>
      <c r="N21" s="34">
        <f t="shared" si="5"/>
        <v>890.26170184714044</v>
      </c>
      <c r="O21" s="35">
        <f t="shared" si="6"/>
        <v>730</v>
      </c>
      <c r="P21" s="54">
        <f>+(N21/$N$22)*O21</f>
        <v>649.89103971438192</v>
      </c>
    </row>
    <row r="22" spans="1:16" ht="15.75" thickBot="1">
      <c r="A22" s="1"/>
      <c r="B22" s="36"/>
      <c r="C22" s="27"/>
      <c r="D22" s="1"/>
      <c r="E22" s="50"/>
      <c r="F22" s="57" t="s">
        <v>18</v>
      </c>
      <c r="G22" s="58"/>
      <c r="H22" s="59"/>
      <c r="I22" s="37">
        <f>SUM(I16:I21)</f>
        <v>135</v>
      </c>
      <c r="J22" s="49">
        <f>SUM(J16:J21)</f>
        <v>1000</v>
      </c>
      <c r="K22" s="49"/>
      <c r="L22" s="38">
        <f>SUM(L15:L21)</f>
        <v>135</v>
      </c>
      <c r="M22" s="4"/>
      <c r="N22" s="39">
        <f>SUM(N16:N21)</f>
        <v>1000.0000040530342</v>
      </c>
    </row>
    <row r="23" spans="1:16" ht="15" customHeight="1">
      <c r="E23" s="50"/>
    </row>
    <row r="24" spans="1:16" s="43" customFormat="1" ht="37.5" customHeight="1">
      <c r="E24" s="44"/>
      <c r="F24" s="55" t="s">
        <v>20</v>
      </c>
      <c r="G24" s="55"/>
      <c r="H24" s="55"/>
      <c r="I24" s="55"/>
      <c r="J24" s="55"/>
      <c r="K24" s="55"/>
      <c r="L24" s="55"/>
      <c r="M24" s="45"/>
      <c r="P24" s="53"/>
    </row>
    <row r="25" spans="1:16" ht="15" customHeight="1"/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sheetProtection algorithmName="SHA-512" hashValue="JYl9A8vPbh+Xj0Dm/xyjmQM9oqJ/XH1EX/ti/F6y8ulijELQndGo+lMdTUcertIYC8S3xxB4xG296RaV0FQIaA==" saltValue="LdUzeFNcdH3o1Vy2/OM79Q==" spinCount="100000" sheet="1" selectLockedCells="1"/>
  <mergeCells count="6">
    <mergeCell ref="F24:L24"/>
    <mergeCell ref="J9:K9"/>
    <mergeCell ref="J10:K10"/>
    <mergeCell ref="J11:K11"/>
    <mergeCell ref="J12:K12"/>
    <mergeCell ref="F22:H2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YPF LUZ XXI</vt:lpstr>
      <vt:lpstr>'ON YPF LUZ XXI'!Área_de_impresión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2021-09-15T11:57:40Z</dcterms:created>
  <dcterms:modified xsi:type="dcterms:W3CDTF">2025-05-15T13:55:00Z</dcterms:modified>
</cp:coreProperties>
</file>