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YPF\Clase XXXVII\"/>
    </mc:Choice>
  </mc:AlternateContent>
  <xr:revisionPtr revIDLastSave="0" documentId="13_ncr:1_{51435CF5-A405-48E3-86F2-AC43351C6779}" xr6:coauthVersionLast="47" xr6:coauthVersionMax="47" xr10:uidLastSave="{00000000-0000-0000-0000-000000000000}"/>
  <bookViews>
    <workbookView xWindow="28680" yWindow="-120" windowWidth="29040" windowHeight="15840" xr2:uid="{5A7869C8-6724-4931-8FBD-F406316EB44F}"/>
  </bookViews>
  <sheets>
    <sheet name="ON YPF Clase XXXVII" sheetId="1" r:id="rId1"/>
  </sheets>
  <definedNames>
    <definedName name="_xlnm.Print_Area" localSheetId="0">'ON YPF Clase XXXVII'!$A$6:$P$17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15" i="1"/>
  <c r="D21" i="1"/>
  <c r="D20" i="1"/>
  <c r="D17" i="1"/>
  <c r="D16" i="1"/>
  <c r="D18" i="1"/>
  <c r="D19" i="1"/>
  <c r="D22" i="1"/>
  <c r="D15" i="1"/>
  <c r="D14" i="1"/>
  <c r="B16" i="1"/>
  <c r="B17" i="1"/>
  <c r="B18" i="1" s="1"/>
  <c r="B19" i="1" s="1"/>
  <c r="B20" i="1" s="1"/>
  <c r="B21" i="1" s="1"/>
  <c r="B22" i="1" s="1"/>
  <c r="B15" i="1"/>
  <c r="J22" i="1"/>
  <c r="J23" i="1" s="1"/>
  <c r="C21" i="1"/>
  <c r="C22" i="1"/>
  <c r="B14" i="1"/>
  <c r="G14" i="1"/>
  <c r="K14" i="1" s="1"/>
  <c r="G15" i="1" s="1"/>
  <c r="K15" i="1" s="1"/>
  <c r="G16" i="1" s="1"/>
  <c r="K16" i="1" s="1"/>
  <c r="G17" i="1" s="1"/>
  <c r="K17" i="1" s="1"/>
  <c r="G18" i="1" s="1"/>
  <c r="K18" i="1" s="1"/>
  <c r="G19" i="1" s="1"/>
  <c r="K19" i="1" s="1"/>
  <c r="G20" i="1" s="1"/>
  <c r="C18" i="1"/>
  <c r="C19" i="1"/>
  <c r="C20" i="1"/>
  <c r="C17" i="1"/>
  <c r="C16" i="1"/>
  <c r="C15" i="1"/>
  <c r="F14" i="1"/>
  <c r="C14" i="1"/>
  <c r="L14" i="1" l="1"/>
  <c r="I18" i="1"/>
  <c r="F15" i="1"/>
  <c r="O15" i="1" s="1"/>
  <c r="K20" i="1"/>
  <c r="G21" i="1" s="1"/>
  <c r="K21" i="1" s="1"/>
  <c r="G22" i="1" s="1"/>
  <c r="I16" i="1"/>
  <c r="L16" i="1" s="1"/>
  <c r="I15" i="1" l="1"/>
  <c r="L15" i="1" s="1"/>
  <c r="K22" i="1"/>
  <c r="I17" i="1" l="1"/>
  <c r="L17" i="1" s="1"/>
  <c r="F17" i="1"/>
  <c r="O17" i="1" s="1"/>
  <c r="F18" i="1" l="1"/>
  <c r="O18" i="1" s="1"/>
  <c r="L18" i="1"/>
  <c r="F19" i="1" l="1"/>
  <c r="O19" i="1" s="1"/>
  <c r="I19" i="1"/>
  <c r="L19" i="1" s="1"/>
  <c r="F16" i="1"/>
  <c r="I20" i="1" l="1"/>
  <c r="F20" i="1"/>
  <c r="O20" i="1" s="1"/>
  <c r="O16" i="1"/>
  <c r="I21" i="1" l="1"/>
  <c r="L21" i="1" s="1"/>
  <c r="F21" i="1"/>
  <c r="O21" i="1" s="1"/>
  <c r="L20" i="1"/>
  <c r="I23" i="1"/>
  <c r="I22" i="1" l="1"/>
  <c r="L22" i="1" s="1"/>
  <c r="F22" i="1"/>
  <c r="O22" i="1" s="1"/>
  <c r="L8" i="1" l="1"/>
  <c r="L9" i="1" s="1"/>
  <c r="L23" i="1"/>
  <c r="N22" i="1" l="1"/>
  <c r="N15" i="1"/>
  <c r="N19" i="1"/>
  <c r="N17" i="1"/>
  <c r="N18" i="1"/>
  <c r="N16" i="1"/>
  <c r="N20" i="1"/>
  <c r="N21" i="1"/>
  <c r="N23" i="1" l="1"/>
  <c r="Q22" i="1" s="1"/>
  <c r="Q18" i="1" l="1"/>
  <c r="Q20" i="1"/>
  <c r="Q17" i="1"/>
  <c r="Q16" i="1"/>
  <c r="Q21" i="1"/>
  <c r="Q15" i="1"/>
  <c r="Q19" i="1"/>
  <c r="L10" i="1" l="1"/>
  <c r="L11" i="1"/>
</calcChain>
</file>

<file path=xl/sharedStrings.xml><?xml version="1.0" encoding="utf-8"?>
<sst xmlns="http://schemas.openxmlformats.org/spreadsheetml/2006/main" count="24" uniqueCount="24">
  <si>
    <t>VN (USD)</t>
  </si>
  <si>
    <t>TIR</t>
  </si>
  <si>
    <t>Fecha de Emisión y Liquidación</t>
  </si>
  <si>
    <t>Tasa Fija a Licitar</t>
  </si>
  <si>
    <t>Duration (meses)</t>
  </si>
  <si>
    <t>Precio</t>
  </si>
  <si>
    <t>Tasa de cupon</t>
  </si>
  <si>
    <t>Fecha de Pago</t>
  </si>
  <si>
    <t>Capital (USD)</t>
  </si>
  <si>
    <t>Días Intereses</t>
  </si>
  <si>
    <t>Intereses (USD)</t>
  </si>
  <si>
    <t>Amortización (USD)</t>
  </si>
  <si>
    <t>Capital Residual (USD)</t>
  </si>
  <si>
    <t>Flujo (USD)</t>
  </si>
  <si>
    <t>VA Flujo</t>
  </si>
  <si>
    <t>Días Flujo</t>
  </si>
  <si>
    <t>Duration</t>
  </si>
  <si>
    <t>Totales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</si>
  <si>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Precio que ha tenido a su disposición.
</t>
  </si>
  <si>
    <t>Duration (años)</t>
  </si>
  <si>
    <t xml:space="preserve"> </t>
  </si>
  <si>
    <t>Dólar MEP - 24 meses</t>
  </si>
  <si>
    <t>ON YPF S.A. Clase XXXVII</t>
  </si>
  <si>
    <t>TNA (90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</si>
</sst>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 &quot;$&quot;\ * #,##0_ ;_ &quot;$&quot;\ * \-#,##0_ ;_ &quot;$&quot;\ * &quot;-&quot;_ ;_ @_ "/>
  </numFmts>
  <fonts count="14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</cellStyleXfs>
  <cellXfs count="59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3" fillId="2" borderId="0" xfId="0" applyFont="1" applyFill="1" applyProtection="1">
      <protection hidden="1"/>
    </xf>
    <xf numFmtId="0" fontId="3" fillId="0" borderId="0" xfId="0" applyFont="1"/>
    <xf numFmtId="0" fontId="5" fillId="0" borderId="0" xfId="0" applyFont="1" applyProtection="1">
      <protection hidden="1"/>
    </xf>
    <xf numFmtId="164" fontId="6" fillId="3" borderId="1" xfId="0" applyNumberFormat="1" applyFont="1" applyFill="1" applyBorder="1" applyAlignment="1" applyProtection="1">
      <alignment horizontal="left"/>
      <protection hidden="1"/>
    </xf>
    <xf numFmtId="166" fontId="7" fillId="4" borderId="1" xfId="1" applyNumberFormat="1" applyFont="1" applyFill="1" applyBorder="1" applyProtection="1">
      <protection locked="0" hidden="1"/>
    </xf>
    <xf numFmtId="10" fontId="7" fillId="5" borderId="1" xfId="3" applyNumberFormat="1" applyFont="1" applyFill="1" applyBorder="1" applyProtection="1">
      <protection hidden="1"/>
    </xf>
    <xf numFmtId="10" fontId="8" fillId="2" borderId="0" xfId="3" applyNumberFormat="1" applyFont="1" applyFill="1" applyBorder="1" applyProtection="1">
      <protection hidden="1"/>
    </xf>
    <xf numFmtId="14" fontId="7" fillId="5" borderId="1" xfId="4" applyNumberFormat="1" applyFont="1" applyFill="1" applyBorder="1" applyProtection="1">
      <protection hidden="1"/>
    </xf>
    <xf numFmtId="165" fontId="8" fillId="2" borderId="0" xfId="1" applyFont="1" applyFill="1" applyBorder="1" applyProtection="1">
      <protection hidden="1"/>
    </xf>
    <xf numFmtId="165" fontId="7" fillId="5" borderId="1" xfId="1" applyFont="1" applyFill="1" applyBorder="1" applyProtection="1">
      <protection hidden="1"/>
    </xf>
    <xf numFmtId="9" fontId="7" fillId="5" borderId="1" xfId="3" applyFont="1" applyFill="1" applyBorder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10" fillId="0" borderId="0" xfId="0" applyFont="1"/>
    <xf numFmtId="0" fontId="10" fillId="2" borderId="0" xfId="0" applyFont="1" applyFill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6" xfId="5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0" fontId="3" fillId="0" borderId="0" xfId="0" applyNumberFormat="1" applyFont="1" applyProtection="1">
      <protection hidden="1"/>
    </xf>
    <xf numFmtId="167" fontId="4" fillId="0" borderId="0" xfId="0" applyNumberFormat="1" applyFont="1" applyProtection="1">
      <protection hidden="1"/>
    </xf>
    <xf numFmtId="167" fontId="4" fillId="5" borderId="7" xfId="0" applyNumberFormat="1" applyFont="1" applyFill="1" applyBorder="1" applyProtection="1">
      <protection hidden="1"/>
    </xf>
    <xf numFmtId="168" fontId="4" fillId="5" borderId="0" xfId="0" applyNumberFormat="1" applyFont="1" applyFill="1" applyProtection="1">
      <protection hidden="1"/>
    </xf>
    <xf numFmtId="168" fontId="4" fillId="5" borderId="8" xfId="0" applyNumberFormat="1" applyFont="1" applyFill="1" applyBorder="1" applyAlignment="1" applyProtection="1">
      <alignment horizontal="right" indent="1"/>
      <protection hidden="1"/>
    </xf>
    <xf numFmtId="168" fontId="4" fillId="5" borderId="9" xfId="0" applyNumberFormat="1" applyFont="1" applyFill="1" applyBorder="1" applyProtection="1">
      <protection hidden="1"/>
    </xf>
    <xf numFmtId="170" fontId="10" fillId="2" borderId="0" xfId="2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167" fontId="4" fillId="5" borderId="10" xfId="0" applyNumberFormat="1" applyFont="1" applyFill="1" applyBorder="1" applyProtection="1">
      <protection hidden="1"/>
    </xf>
    <xf numFmtId="166" fontId="4" fillId="5" borderId="0" xfId="1" applyNumberFormat="1" applyFont="1" applyFill="1" applyBorder="1" applyAlignment="1" applyProtection="1">
      <alignment horizontal="right" indent="1"/>
      <protection hidden="1"/>
    </xf>
    <xf numFmtId="166" fontId="10" fillId="0" borderId="0" xfId="1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3" fillId="0" borderId="0" xfId="0" applyNumberFormat="1" applyFont="1"/>
    <xf numFmtId="168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168" fontId="1" fillId="6" borderId="6" xfId="5" applyNumberFormat="1" applyFont="1" applyFill="1" applyBorder="1" applyAlignment="1" applyProtection="1">
      <alignment horizontal="center" vertical="center" wrapText="1"/>
      <protection hidden="1"/>
    </xf>
    <xf numFmtId="166" fontId="3" fillId="0" borderId="13" xfId="0" applyNumberFormat="1" applyFont="1" applyBorder="1"/>
    <xf numFmtId="0" fontId="4" fillId="0" borderId="0" xfId="0" applyFont="1"/>
    <xf numFmtId="164" fontId="4" fillId="0" borderId="0" xfId="0" applyNumberFormat="1" applyFont="1"/>
    <xf numFmtId="0" fontId="3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7" fillId="4" borderId="3" xfId="3" applyNumberFormat="1" applyFont="1" applyFill="1" applyBorder="1" applyAlignment="1" applyProtection="1">
      <alignment vertical="center" wrapText="1"/>
      <protection locked="0" hidden="1"/>
    </xf>
    <xf numFmtId="164" fontId="6" fillId="3" borderId="3" xfId="0" applyNumberFormat="1" applyFont="1" applyFill="1" applyBorder="1" applyAlignment="1" applyProtection="1">
      <alignment vertical="center"/>
      <protection hidden="1"/>
    </xf>
    <xf numFmtId="0" fontId="1" fillId="3" borderId="2" xfId="0" applyFont="1" applyFill="1" applyBorder="1" applyProtection="1">
      <protection hidden="1"/>
    </xf>
    <xf numFmtId="172" fontId="4" fillId="5" borderId="0" xfId="0" applyNumberFormat="1" applyFont="1" applyFill="1" applyProtection="1">
      <protection hidden="1"/>
    </xf>
    <xf numFmtId="172" fontId="1" fillId="6" borderId="5" xfId="5" applyNumberFormat="1" applyFont="1" applyFill="1" applyBorder="1" applyAlignment="1" applyProtection="1">
      <alignment horizontal="center" vertical="center" wrapText="1"/>
      <protection hidden="1"/>
    </xf>
    <xf numFmtId="0" fontId="1" fillId="6" borderId="5" xfId="5" applyFont="1" applyFill="1" applyBorder="1" applyAlignment="1" applyProtection="1">
      <alignment horizontal="center" vertical="center" wrapText="1"/>
      <protection hidden="1"/>
    </xf>
    <xf numFmtId="0" fontId="1" fillId="6" borderId="11" xfId="5" applyFont="1" applyFill="1" applyBorder="1" applyAlignment="1" applyProtection="1">
      <alignment horizontal="center" vertical="center" wrapText="1"/>
      <protection hidden="1"/>
    </xf>
    <xf numFmtId="0" fontId="1" fillId="6" borderId="12" xfId="5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</cellXfs>
  <cellStyles count="6">
    <cellStyle name="Millares" xfId="1" builtinId="3"/>
    <cellStyle name="Moneda" xfId="2" builtinId="4"/>
    <cellStyle name="Normal" xfId="0" builtinId="0"/>
    <cellStyle name="Normal 2" xfId="4" xr:uid="{EBC8AC57-EE1D-40F8-A643-B7F21F4937FD}"/>
    <cellStyle name="Normal_Calculadora Garbarino 45_v1" xfId="5" xr:uid="{5AE9708E-5E6C-442A-86E7-23EBBB0BEED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1100666</xdr:colOff>
      <xdr:row>1</xdr:row>
      <xdr:rowOff>7056</xdr:rowOff>
    </xdr:from>
    <xdr:to>
      <xdr:col>11</xdr:col>
      <xdr:colOff>1037870</xdr:colOff>
      <xdr:row>3</xdr:row>
      <xdr:rowOff>125236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FBF603-5DCC-4C92-B0E5-EEAA6FABB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41333" y="190500"/>
          <a:ext cx="1390649" cy="485069"/>
        </a:xfrm>
        <a:prstGeom prst="rect">
          <a:avLst/>
        </a:prstGeom>
      </xdr:spPr>
    </xdr:pic>
    <xdr:clientData/>
  </xdr:twoCellAnchor>
  <xdr:twoCellAnchor editAs="oneCell">
    <xdr:from>
      <xdr:col>5</xdr:col>
      <xdr:colOff>35278</xdr:colOff>
      <xdr:row>0</xdr:row>
      <xdr:rowOff>63499</xdr:rowOff>
    </xdr:from>
    <xdr:to>
      <xdr:col>5</xdr:col>
      <xdr:colOff>1533878</xdr:colOff>
      <xdr:row>3</xdr:row>
      <xdr:rowOff>97259</xdr:rowOff>
    </xdr:to>
    <xdr:pic>
      <xdr:nvPicPr>
        <xdr:cNvPr id="2" name="Picture 3" descr="YPF - Wikipedia, la enciclopedia libre">
          <a:extLst>
            <a:ext uri="{FF2B5EF4-FFF2-40B4-BE49-F238E27FC236}">
              <a16:creationId xmlns:a16="http://schemas.microsoft.com/office/drawing/2014/main" id="{742DFB8A-E61C-464E-A4F4-7812C6D80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0889" y="63499"/>
          <a:ext cx="1498600" cy="5840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5D177-8F1A-4E1E-A344-B8498CD4B6AA}">
  <sheetPr>
    <pageSetUpPr fitToPage="1"/>
  </sheetPr>
  <dimension ref="A1:XEY62"/>
  <sheetViews>
    <sheetView showGridLines="0" tabSelected="1" topLeftCell="E1" zoomScale="90" zoomScaleNormal="90" workbookViewId="0">
      <selection activeCell="G8" sqref="G8"/>
    </sheetView>
  </sheetViews>
  <sheetFormatPr baseColWidth="10" defaultColWidth="0" defaultRowHeight="15" customHeight="1" zeroHeight="1"/>
  <cols>
    <col min="1" max="1" width="9.140625" style="5" hidden="1" customWidth="1"/>
    <col min="2" max="2" width="42.85546875" style="5" hidden="1" customWidth="1"/>
    <col min="3" max="3" width="27" style="5" hidden="1" customWidth="1"/>
    <col min="4" max="4" width="36.140625" style="5" hidden="1" customWidth="1"/>
    <col min="5" max="5" width="16" style="43" customWidth="1"/>
    <col min="6" max="6" width="34.7109375" style="44" customWidth="1"/>
    <col min="7" max="7" width="16.7109375" style="43" bestFit="1" customWidth="1"/>
    <col min="8" max="8" width="13.42578125" style="43" bestFit="1" customWidth="1"/>
    <col min="9" max="9" width="14.85546875" style="43" bestFit="1" customWidth="1"/>
    <col min="10" max="10" width="18.42578125" style="43" bestFit="1" customWidth="1"/>
    <col min="11" max="11" width="20.85546875" style="43" bestFit="1" customWidth="1"/>
    <col min="12" max="12" width="18.140625" style="43" customWidth="1"/>
    <col min="13" max="13" width="19.85546875" style="45" hidden="1" customWidth="1"/>
    <col min="14" max="17" width="11.42578125" style="5" hidden="1" customWidth="1"/>
    <col min="18" max="16379" width="9.140625" style="5" hidden="1"/>
    <col min="16380" max="16380" width="11" style="5" customWidth="1"/>
    <col min="16381" max="16381" width="28.85546875" style="5" customWidth="1"/>
    <col min="16382" max="16382" width="18.42578125" style="5" customWidth="1"/>
    <col min="16383" max="16383" width="21.140625" style="5" customWidth="1"/>
    <col min="16384" max="16384" width="20.5703125" style="5" customWidth="1"/>
  </cols>
  <sheetData>
    <row r="1" spans="1:17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7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7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7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>
      <c r="A5" s="1"/>
      <c r="B5" s="1"/>
      <c r="C5" s="1"/>
      <c r="D5" s="1"/>
      <c r="E5" s="2"/>
      <c r="F5" s="6" t="s">
        <v>22</v>
      </c>
      <c r="G5" s="6"/>
      <c r="H5" s="6"/>
      <c r="I5" s="6"/>
      <c r="J5" s="2"/>
      <c r="K5" s="2"/>
      <c r="L5" s="2"/>
      <c r="M5" s="4"/>
    </row>
    <row r="6" spans="1:17">
      <c r="A6" s="1"/>
      <c r="B6" s="1"/>
      <c r="C6" s="1"/>
      <c r="D6" s="1"/>
      <c r="E6" s="2"/>
      <c r="F6" s="6" t="s">
        <v>21</v>
      </c>
      <c r="G6" s="2"/>
      <c r="H6" s="2"/>
      <c r="I6" s="2"/>
      <c r="J6" s="2"/>
      <c r="K6" s="2"/>
      <c r="L6" s="2"/>
      <c r="M6" s="4"/>
    </row>
    <row r="7" spans="1:17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>
      <c r="A8" s="1"/>
      <c r="B8" s="1"/>
      <c r="C8" s="1"/>
      <c r="D8" s="1"/>
      <c r="E8" s="2"/>
      <c r="F8" s="7" t="s">
        <v>0</v>
      </c>
      <c r="G8" s="8">
        <v>100</v>
      </c>
      <c r="H8" s="2"/>
      <c r="I8" s="2"/>
      <c r="J8" s="58" t="s">
        <v>1</v>
      </c>
      <c r="K8" s="58"/>
      <c r="L8" s="9">
        <f>+XIRR(L14:L22,F14:F22)</f>
        <v>7.3439362645149248E-2</v>
      </c>
      <c r="M8" s="10"/>
    </row>
    <row r="9" spans="1:17">
      <c r="A9" s="1"/>
      <c r="B9" s="1"/>
      <c r="C9" s="1"/>
      <c r="D9" s="1"/>
      <c r="E9" s="2"/>
      <c r="F9" s="7" t="s">
        <v>2</v>
      </c>
      <c r="G9" s="11">
        <v>45784</v>
      </c>
      <c r="H9" s="2"/>
      <c r="I9" s="2"/>
      <c r="J9" s="58" t="s">
        <v>23</v>
      </c>
      <c r="K9" s="58"/>
      <c r="L9" s="9">
        <f>+NOMINAL(L8,4)</f>
        <v>7.1499356562350513E-2</v>
      </c>
      <c r="M9" s="12"/>
    </row>
    <row r="10" spans="1:17">
      <c r="A10" s="1"/>
      <c r="B10" s="1"/>
      <c r="C10" s="1"/>
      <c r="D10" s="1"/>
      <c r="E10" s="2"/>
      <c r="F10" s="50" t="s">
        <v>3</v>
      </c>
      <c r="G10" s="49">
        <v>7.1499999999999994E-2</v>
      </c>
      <c r="H10" s="2"/>
      <c r="I10" s="2"/>
      <c r="J10" s="58" t="s">
        <v>4</v>
      </c>
      <c r="K10" s="58"/>
      <c r="L10" s="13">
        <f>+SUM(Q15:Q22)/(365/12)</f>
        <v>22.575834256621452</v>
      </c>
      <c r="M10" s="12"/>
    </row>
    <row r="11" spans="1:17">
      <c r="A11" s="1"/>
      <c r="B11" s="1"/>
      <c r="C11" s="1"/>
      <c r="D11" s="1"/>
      <c r="E11" s="2"/>
      <c r="F11" s="51" t="s">
        <v>5</v>
      </c>
      <c r="G11" s="14">
        <v>1</v>
      </c>
      <c r="I11" s="6"/>
      <c r="J11" s="58" t="s">
        <v>19</v>
      </c>
      <c r="K11" s="58"/>
      <c r="L11" s="13">
        <f>+SUM(Q15:Q22)/(365)</f>
        <v>1.8813195213851208</v>
      </c>
      <c r="M11" s="15"/>
      <c r="N11" s="16"/>
    </row>
    <row r="12" spans="1:17" ht="15.75" thickBot="1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17"/>
      <c r="N12" s="16"/>
    </row>
    <row r="13" spans="1:17" s="25" customFormat="1" ht="28.5" customHeight="1" thickBot="1">
      <c r="A13" s="18"/>
      <c r="B13" s="19"/>
      <c r="C13" s="19" t="s">
        <v>6</v>
      </c>
      <c r="D13" s="19"/>
      <c r="E13" s="20"/>
      <c r="F13" s="21" t="s">
        <v>7</v>
      </c>
      <c r="G13" s="21" t="s">
        <v>8</v>
      </c>
      <c r="H13" s="21" t="s">
        <v>9</v>
      </c>
      <c r="I13" s="21" t="s">
        <v>10</v>
      </c>
      <c r="J13" s="21" t="s">
        <v>11</v>
      </c>
      <c r="K13" s="21" t="s">
        <v>12</v>
      </c>
      <c r="L13" s="22" t="s">
        <v>13</v>
      </c>
      <c r="M13" s="23"/>
      <c r="N13" s="24" t="s">
        <v>14</v>
      </c>
      <c r="O13" s="24" t="s">
        <v>15</v>
      </c>
      <c r="Q13" s="24" t="s">
        <v>16</v>
      </c>
    </row>
    <row r="14" spans="1:17">
      <c r="A14" s="1"/>
      <c r="B14" s="26">
        <f>+D14</f>
        <v>45784</v>
      </c>
      <c r="C14" s="27">
        <f>+$G$10</f>
        <v>7.1499999999999994E-2</v>
      </c>
      <c r="D14" s="26">
        <f>+G9</f>
        <v>45784</v>
      </c>
      <c r="E14" s="28"/>
      <c r="F14" s="29">
        <f>+G9</f>
        <v>45784</v>
      </c>
      <c r="G14" s="52">
        <f>+G8</f>
        <v>100</v>
      </c>
      <c r="H14" s="31"/>
      <c r="I14" s="30"/>
      <c r="J14" s="52"/>
      <c r="K14" s="52">
        <f t="shared" ref="K14" si="0">+G14-J14</f>
        <v>100</v>
      </c>
      <c r="L14" s="32">
        <f>-G14</f>
        <v>-100</v>
      </c>
      <c r="M14" s="33"/>
      <c r="N14" s="34"/>
      <c r="O14" s="34"/>
    </row>
    <row r="15" spans="1:17">
      <c r="A15" s="1"/>
      <c r="B15" s="26">
        <f>EDATE(B14, 3)</f>
        <v>45876</v>
      </c>
      <c r="C15" s="27">
        <f t="shared" ref="C15:C22" si="1">+$G$10</f>
        <v>7.1499999999999994E-2</v>
      </c>
      <c r="D15" s="26">
        <f>B15</f>
        <v>45876</v>
      </c>
      <c r="E15" s="28"/>
      <c r="F15" s="35">
        <f t="shared" ref="F15" si="2">+D15</f>
        <v>45876</v>
      </c>
      <c r="G15" s="52">
        <f>+K14</f>
        <v>100</v>
      </c>
      <c r="H15" s="36">
        <f>+D15-D14</f>
        <v>92</v>
      </c>
      <c r="I15" s="30">
        <f>+G15*($G$10)*(H15)/365</f>
        <v>1.8021917808219177</v>
      </c>
      <c r="J15" s="52"/>
      <c r="K15" s="52">
        <f t="shared" ref="K15" si="3">+G15-J15</f>
        <v>100</v>
      </c>
      <c r="L15" s="32">
        <f t="shared" ref="L15" si="4">+I15+J15</f>
        <v>1.8021917808219177</v>
      </c>
      <c r="M15" s="33"/>
      <c r="N15" s="37">
        <f>+L15/(1+$L$8)^((O15)/365)</f>
        <v>1.770285793011247</v>
      </c>
      <c r="O15" s="38">
        <f t="shared" ref="O15:O17" si="5">+F15-$F$14</f>
        <v>92</v>
      </c>
      <c r="Q15" s="39">
        <f t="shared" ref="Q15:Q20" si="6">+(N15/$N$23)*O15</f>
        <v>1.6286629244807738</v>
      </c>
    </row>
    <row r="16" spans="1:17">
      <c r="A16" s="1"/>
      <c r="B16" s="26">
        <f t="shared" ref="B16:B22" si="7">EDATE(B15, 3)</f>
        <v>45968</v>
      </c>
      <c r="C16" s="27">
        <f t="shared" si="1"/>
        <v>7.1499999999999994E-2</v>
      </c>
      <c r="D16" s="26">
        <f t="shared" ref="D16:D22" si="8">B16</f>
        <v>45968</v>
      </c>
      <c r="E16" s="28"/>
      <c r="F16" s="35">
        <f t="shared" ref="F16:F22" si="9">+D16</f>
        <v>45968</v>
      </c>
      <c r="G16" s="52">
        <f t="shared" ref="G16:G22" si="10">+K15</f>
        <v>100</v>
      </c>
      <c r="H16" s="36">
        <f t="shared" ref="H16:H22" si="11">+D16-D15</f>
        <v>92</v>
      </c>
      <c r="I16" s="30">
        <f t="shared" ref="I16:I22" si="12">+G16*($G$10)*(H16)/365</f>
        <v>1.8021917808219177</v>
      </c>
      <c r="J16" s="52"/>
      <c r="K16" s="52">
        <f t="shared" ref="K16:K22" si="13">+G16-J16</f>
        <v>100</v>
      </c>
      <c r="L16" s="32">
        <f t="shared" ref="L16:L22" si="14">+I16+J16</f>
        <v>1.8021917808219177</v>
      </c>
      <c r="M16" s="33"/>
      <c r="N16" s="37">
        <f t="shared" ref="N16:N17" si="15">+L16/(1+$L$8)^((O16)/365)</f>
        <v>1.738944668534772</v>
      </c>
      <c r="O16" s="38">
        <f t="shared" ref="O16" si="16">+F16-$F$14</f>
        <v>184</v>
      </c>
      <c r="Q16" s="39">
        <f t="shared" si="6"/>
        <v>3.1996581801050454</v>
      </c>
    </row>
    <row r="17" spans="1:17">
      <c r="A17" s="1"/>
      <c r="B17" s="26">
        <f t="shared" si="7"/>
        <v>46060</v>
      </c>
      <c r="C17" s="27">
        <f t="shared" si="1"/>
        <v>7.1499999999999994E-2</v>
      </c>
      <c r="D17" s="26">
        <f>B17+2</f>
        <v>46062</v>
      </c>
      <c r="E17" s="28"/>
      <c r="F17" s="35">
        <f t="shared" si="9"/>
        <v>46062</v>
      </c>
      <c r="G17" s="52">
        <f t="shared" si="10"/>
        <v>100</v>
      </c>
      <c r="H17" s="36">
        <f t="shared" si="11"/>
        <v>94</v>
      </c>
      <c r="I17" s="30">
        <f t="shared" si="12"/>
        <v>1.8413698630136983</v>
      </c>
      <c r="J17" s="52"/>
      <c r="K17" s="52">
        <f t="shared" si="13"/>
        <v>100</v>
      </c>
      <c r="L17" s="32">
        <f t="shared" si="14"/>
        <v>1.8413698630136983</v>
      </c>
      <c r="M17" s="33"/>
      <c r="N17" s="37">
        <f t="shared" si="15"/>
        <v>1.7446146903896507</v>
      </c>
      <c r="O17" s="38">
        <f t="shared" si="5"/>
        <v>278</v>
      </c>
      <c r="Q17" s="39">
        <f t="shared" si="6"/>
        <v>4.8500288241268841</v>
      </c>
    </row>
    <row r="18" spans="1:17">
      <c r="A18" s="1"/>
      <c r="B18" s="26">
        <f t="shared" si="7"/>
        <v>46149</v>
      </c>
      <c r="C18" s="27">
        <f t="shared" si="1"/>
        <v>7.1499999999999994E-2</v>
      </c>
      <c r="D18" s="26">
        <f t="shared" si="8"/>
        <v>46149</v>
      </c>
      <c r="E18" s="28"/>
      <c r="F18" s="35">
        <f t="shared" si="9"/>
        <v>46149</v>
      </c>
      <c r="G18" s="52">
        <f t="shared" si="10"/>
        <v>100</v>
      </c>
      <c r="H18" s="36">
        <f t="shared" si="11"/>
        <v>87</v>
      </c>
      <c r="I18" s="30">
        <f>+G18*($G$10)*(H18)/365</f>
        <v>1.7042465753424656</v>
      </c>
      <c r="J18" s="52"/>
      <c r="K18" s="52">
        <f t="shared" si="13"/>
        <v>100</v>
      </c>
      <c r="L18" s="32">
        <f t="shared" si="14"/>
        <v>1.7042465753424656</v>
      </c>
      <c r="M18" s="33"/>
      <c r="N18" s="37">
        <f t="shared" ref="N18:N19" si="17">+L18/(1+$L$8)^((O18)/365)</f>
        <v>1.5876505321575809</v>
      </c>
      <c r="O18" s="38">
        <f t="shared" ref="O18:O22" si="18">+F18-$F$14</f>
        <v>365</v>
      </c>
      <c r="Q18" s="39">
        <f t="shared" si="6"/>
        <v>5.7949244242660249</v>
      </c>
    </row>
    <row r="19" spans="1:17">
      <c r="A19" s="1"/>
      <c r="B19" s="26">
        <f t="shared" si="7"/>
        <v>46241</v>
      </c>
      <c r="C19" s="27">
        <f t="shared" si="1"/>
        <v>7.1499999999999994E-2</v>
      </c>
      <c r="D19" s="26">
        <f t="shared" si="8"/>
        <v>46241</v>
      </c>
      <c r="E19" s="28"/>
      <c r="F19" s="35">
        <f t="shared" si="9"/>
        <v>46241</v>
      </c>
      <c r="G19" s="52">
        <f t="shared" si="10"/>
        <v>100</v>
      </c>
      <c r="H19" s="36">
        <f t="shared" si="11"/>
        <v>92</v>
      </c>
      <c r="I19" s="30">
        <f t="shared" si="12"/>
        <v>1.8021917808219177</v>
      </c>
      <c r="J19" s="52"/>
      <c r="K19" s="52">
        <f t="shared" si="13"/>
        <v>100</v>
      </c>
      <c r="L19" s="32">
        <f t="shared" si="14"/>
        <v>1.8021917808219177</v>
      </c>
      <c r="M19" s="33"/>
      <c r="N19" s="37">
        <f t="shared" si="17"/>
        <v>1.6491716762174082</v>
      </c>
      <c r="O19" s="38">
        <f t="shared" si="18"/>
        <v>457</v>
      </c>
      <c r="Q19" s="39">
        <f t="shared" si="6"/>
        <v>7.5367145367613153</v>
      </c>
    </row>
    <row r="20" spans="1:17">
      <c r="A20" s="1"/>
      <c r="B20" s="26">
        <f t="shared" si="7"/>
        <v>46333</v>
      </c>
      <c r="C20" s="27">
        <f t="shared" si="1"/>
        <v>7.1499999999999994E-2</v>
      </c>
      <c r="D20" s="26">
        <f>B20+2</f>
        <v>46335</v>
      </c>
      <c r="E20" s="28"/>
      <c r="F20" s="35">
        <f t="shared" si="9"/>
        <v>46335</v>
      </c>
      <c r="G20" s="52">
        <f t="shared" si="10"/>
        <v>100</v>
      </c>
      <c r="H20" s="36">
        <f t="shared" si="11"/>
        <v>94</v>
      </c>
      <c r="I20" s="30">
        <f t="shared" si="12"/>
        <v>1.8413698630136983</v>
      </c>
      <c r="J20" s="52"/>
      <c r="K20" s="52">
        <f t="shared" si="13"/>
        <v>100</v>
      </c>
      <c r="L20" s="32">
        <f t="shared" si="14"/>
        <v>1.8413698630136983</v>
      </c>
      <c r="M20" s="33"/>
      <c r="N20" s="37">
        <f>+L20/(1+$L$8)^((O20)/365)</f>
        <v>1.6545489832794429</v>
      </c>
      <c r="O20" s="38">
        <f t="shared" si="18"/>
        <v>551</v>
      </c>
      <c r="Q20" s="39">
        <f t="shared" si="6"/>
        <v>9.116564869380456</v>
      </c>
    </row>
    <row r="21" spans="1:17">
      <c r="A21" s="1"/>
      <c r="B21" s="26">
        <f t="shared" si="7"/>
        <v>46425</v>
      </c>
      <c r="C21" s="27">
        <f t="shared" si="1"/>
        <v>7.1499999999999994E-2</v>
      </c>
      <c r="D21" s="26">
        <f>B21+1</f>
        <v>46426</v>
      </c>
      <c r="E21" s="2"/>
      <c r="F21" s="35">
        <f t="shared" si="9"/>
        <v>46426</v>
      </c>
      <c r="G21" s="52">
        <f t="shared" si="10"/>
        <v>100</v>
      </c>
      <c r="H21" s="36">
        <f t="shared" si="11"/>
        <v>91</v>
      </c>
      <c r="I21" s="30">
        <f t="shared" si="12"/>
        <v>1.7826027397260273</v>
      </c>
      <c r="J21" s="52"/>
      <c r="K21" s="52">
        <f t="shared" si="13"/>
        <v>100</v>
      </c>
      <c r="L21" s="32">
        <f t="shared" si="14"/>
        <v>1.7826027397260273</v>
      </c>
      <c r="M21" s="4"/>
      <c r="N21" s="37">
        <f t="shared" ref="N21" si="19">+L21/(1+$L$8)^((O21)/365)</f>
        <v>1.5736924785330022</v>
      </c>
      <c r="O21" s="38">
        <f t="shared" si="18"/>
        <v>642</v>
      </c>
      <c r="Q21" s="39">
        <f t="shared" ref="Q21" si="20">+(N21/$N$23)*O21</f>
        <v>10.103105680609657</v>
      </c>
    </row>
    <row r="22" spans="1:17" ht="15" customHeight="1" thickBot="1">
      <c r="B22" s="26">
        <f t="shared" si="7"/>
        <v>46514</v>
      </c>
      <c r="C22" s="27">
        <f t="shared" si="1"/>
        <v>7.1499999999999994E-2</v>
      </c>
      <c r="D22" s="26">
        <f t="shared" si="8"/>
        <v>46514</v>
      </c>
      <c r="E22" s="43" t="s">
        <v>20</v>
      </c>
      <c r="F22" s="35">
        <f t="shared" si="9"/>
        <v>46514</v>
      </c>
      <c r="G22" s="52">
        <f t="shared" si="10"/>
        <v>100</v>
      </c>
      <c r="H22" s="36">
        <f t="shared" si="11"/>
        <v>88</v>
      </c>
      <c r="I22" s="30">
        <f t="shared" si="12"/>
        <v>1.7238356164383559</v>
      </c>
      <c r="J22" s="52">
        <f>+G8</f>
        <v>100</v>
      </c>
      <c r="K22" s="52">
        <f t="shared" si="13"/>
        <v>0</v>
      </c>
      <c r="L22" s="32">
        <f t="shared" si="14"/>
        <v>101.72383561643835</v>
      </c>
      <c r="N22" s="37">
        <f>+L22/(1+$L$8)^((O22)/365)</f>
        <v>88.281091490376994</v>
      </c>
      <c r="O22" s="38">
        <f t="shared" si="18"/>
        <v>730</v>
      </c>
      <c r="Q22" s="39">
        <f>+(N22/$N$23)*O22</f>
        <v>644.45196586583893</v>
      </c>
    </row>
    <row r="23" spans="1:17" s="46" customFormat="1" ht="23.1" customHeight="1" thickBot="1">
      <c r="B23" s="26"/>
      <c r="E23" s="47"/>
      <c r="F23" s="54" t="s">
        <v>17</v>
      </c>
      <c r="G23" s="55"/>
      <c r="H23" s="56"/>
      <c r="I23" s="40">
        <f>SUM(I15:I20)</f>
        <v>10.793561643835615</v>
      </c>
      <c r="J23" s="53">
        <f>+J22</f>
        <v>100</v>
      </c>
      <c r="K23" s="53"/>
      <c r="L23" s="41">
        <f>SUM(L14:L22)</f>
        <v>14.299999999999983</v>
      </c>
      <c r="M23" s="48"/>
      <c r="N23" s="42">
        <f>SUM(N15:N22)</f>
        <v>100.00000031250011</v>
      </c>
    </row>
    <row r="24" spans="1:17" s="46" customFormat="1" ht="21" customHeight="1">
      <c r="E24" s="47"/>
      <c r="M24" s="48"/>
    </row>
    <row r="25" spans="1:17" ht="15" customHeight="1"/>
    <row r="26" spans="1:17" ht="15" customHeight="1"/>
    <row r="27" spans="1:17" ht="15" customHeight="1">
      <c r="F27" s="57" t="s">
        <v>18</v>
      </c>
      <c r="G27" s="57"/>
      <c r="H27" s="57"/>
      <c r="I27" s="57"/>
      <c r="J27" s="57"/>
      <c r="K27" s="57"/>
      <c r="L27" s="57"/>
    </row>
    <row r="28" spans="1:17" ht="24.75" customHeight="1">
      <c r="F28" s="57"/>
      <c r="G28" s="57"/>
      <c r="H28" s="57"/>
      <c r="I28" s="57"/>
      <c r="J28" s="57"/>
      <c r="K28" s="57"/>
      <c r="L28" s="57"/>
    </row>
    <row r="29" spans="1:17" ht="15" customHeight="1"/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</sheetData>
  <sheetProtection algorithmName="SHA-512" hashValue="rkKqSaK8rDBJAq8irwt3+A/SaMxAigXiSLEDuPHQ622U+/llyEoKoHo3gu4SxXDogm2ZGr/Ylo8QnzRLhxap1A==" saltValue="93762BjiFflVuGHaTR68cQ==" spinCount="100000" sheet="1" selectLockedCells="1"/>
  <mergeCells count="6">
    <mergeCell ref="F23:H23"/>
    <mergeCell ref="F27:L28"/>
    <mergeCell ref="J11:K11"/>
    <mergeCell ref="J8:K8"/>
    <mergeCell ref="J9:K9"/>
    <mergeCell ref="J10:K10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YPF Clase XXXVII</vt:lpstr>
      <vt:lpstr>'ON YPF Clase XXXVII'!Área_de_impresión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2021-09-15T11:57:40Z</dcterms:created>
  <dcterms:modified xsi:type="dcterms:W3CDTF">2025-05-06T14:39:51Z</dcterms:modified>
</cp:coreProperties>
</file>