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YPF\Clase XXXIX y XL\"/>
    </mc:Choice>
  </mc:AlternateContent>
  <xr:revisionPtr revIDLastSave="0" documentId="13_ncr:1_{2DF99673-2261-44FD-A630-BD6735DF645D}" xr6:coauthVersionLast="47" xr6:coauthVersionMax="47" xr10:uidLastSave="{00000000-0000-0000-0000-000000000000}"/>
  <bookViews>
    <workbookView xWindow="-120" yWindow="-120" windowWidth="29040" windowHeight="15840" xr2:uid="{5A7869C8-6724-4931-8FBD-F406316EB44F}"/>
  </bookViews>
  <sheets>
    <sheet name="ON Clase XXXIX Adicionales" sheetId="7" r:id="rId1"/>
    <sheet name="ON YPF Clase XL" sheetId="1" r:id="rId2"/>
  </sheets>
  <definedNames>
    <definedName name="_xlnm.Print_Area" localSheetId="0">'ON Clase XXXIX Adicionales'!$A$4:$P$24</definedName>
    <definedName name="_xlnm.Print_Area" localSheetId="1">'ON YPF Clase XL'!$A$6:$P$17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7" l="1"/>
  <c r="J30" i="7"/>
  <c r="H26" i="1"/>
  <c r="H25" i="1"/>
  <c r="H24" i="1"/>
  <c r="H23" i="1"/>
  <c r="H22" i="1"/>
  <c r="H21" i="1"/>
  <c r="H20" i="1"/>
  <c r="H19" i="1"/>
  <c r="H18" i="1"/>
  <c r="H17" i="1"/>
  <c r="H16" i="1"/>
  <c r="H15" i="1"/>
  <c r="G17" i="7"/>
  <c r="G18" i="7"/>
  <c r="F17" i="7"/>
  <c r="J28" i="7" l="1"/>
  <c r="G14" i="7"/>
  <c r="H19" i="7" l="1"/>
  <c r="O26" i="1"/>
  <c r="J26" i="1"/>
  <c r="J27" i="1" s="1"/>
  <c r="O23" i="1"/>
  <c r="O24" i="1"/>
  <c r="O25" i="1"/>
  <c r="O17" i="1"/>
  <c r="O16" i="1"/>
  <c r="O15" i="1"/>
  <c r="D25" i="1"/>
  <c r="D23" i="1"/>
  <c r="D22" i="1"/>
  <c r="D20" i="1"/>
  <c r="D19" i="1"/>
  <c r="D16" i="1"/>
  <c r="C23" i="1"/>
  <c r="C24" i="1"/>
  <c r="C25" i="1"/>
  <c r="C26" i="1"/>
  <c r="L18" i="7"/>
  <c r="K18" i="7"/>
  <c r="G19" i="7" s="1"/>
  <c r="D19" i="7"/>
  <c r="F19" i="7" s="1"/>
  <c r="B20" i="7"/>
  <c r="H20" i="7" s="1"/>
  <c r="B18" i="7"/>
  <c r="D18" i="7" s="1"/>
  <c r="F18" i="7" s="1"/>
  <c r="K19" i="7" l="1"/>
  <c r="G20" i="7" s="1"/>
  <c r="K20" i="7" s="1"/>
  <c r="G21" i="7" s="1"/>
  <c r="I19" i="7"/>
  <c r="D20" i="7"/>
  <c r="F20" i="7" s="1"/>
  <c r="L19" i="7"/>
  <c r="O19" i="7"/>
  <c r="O20" i="7"/>
  <c r="K21" i="7" l="1"/>
  <c r="G22" i="7" s="1"/>
  <c r="K22" i="7" s="1"/>
  <c r="G23" i="7"/>
  <c r="K23" i="7" s="1"/>
  <c r="G24" i="7" l="1"/>
  <c r="K24" i="7" s="1"/>
  <c r="G25" i="7" l="1"/>
  <c r="K25" i="7" s="1"/>
  <c r="G26" i="7" l="1"/>
  <c r="K26" i="7" s="1"/>
  <c r="G27" i="7" l="1"/>
  <c r="K27" i="7" s="1"/>
  <c r="G28" i="7" l="1"/>
  <c r="K28" i="7" s="1"/>
  <c r="C20" i="7" l="1"/>
  <c r="C21" i="7"/>
  <c r="C22" i="7"/>
  <c r="C23" i="7"/>
  <c r="C24" i="7"/>
  <c r="C25" i="7"/>
  <c r="C26" i="7"/>
  <c r="C27" i="7"/>
  <c r="C28" i="7"/>
  <c r="C19" i="7"/>
  <c r="C18" i="7"/>
  <c r="I20" i="7" l="1"/>
  <c r="L20" i="7" l="1"/>
  <c r="B21" i="7"/>
  <c r="H21" i="7" l="1"/>
  <c r="I21" i="7" s="1"/>
  <c r="D21" i="7"/>
  <c r="F21" i="7" s="1"/>
  <c r="O21" i="7" s="1"/>
  <c r="B22" i="7"/>
  <c r="H22" i="7" l="1"/>
  <c r="I22" i="7" s="1"/>
  <c r="L22" i="7" s="1"/>
  <c r="D22" i="7"/>
  <c r="F22" i="7" s="1"/>
  <c r="O22" i="7" s="1"/>
  <c r="L21" i="7"/>
  <c r="B23" i="7"/>
  <c r="H23" i="7" l="1"/>
  <c r="I23" i="7" s="1"/>
  <c r="L23" i="7" s="1"/>
  <c r="D23" i="7"/>
  <c r="F23" i="7" s="1"/>
  <c r="O23" i="7" s="1"/>
  <c r="B24" i="7"/>
  <c r="H24" i="7" l="1"/>
  <c r="I24" i="7" s="1"/>
  <c r="L24" i="7" s="1"/>
  <c r="D24" i="7"/>
  <c r="F24" i="7" s="1"/>
  <c r="B25" i="7"/>
  <c r="H25" i="7" l="1"/>
  <c r="I25" i="7" s="1"/>
  <c r="L25" i="7" s="1"/>
  <c r="D25" i="7"/>
  <c r="F25" i="7" s="1"/>
  <c r="O25" i="7" s="1"/>
  <c r="O24" i="7"/>
  <c r="B26" i="7"/>
  <c r="D26" i="7" l="1"/>
  <c r="F26" i="7" s="1"/>
  <c r="O26" i="7" s="1"/>
  <c r="H26" i="7"/>
  <c r="I26" i="7" s="1"/>
  <c r="L26" i="7" s="1"/>
  <c r="B27" i="7"/>
  <c r="H27" i="7" l="1"/>
  <c r="I27" i="7" s="1"/>
  <c r="L27" i="7" s="1"/>
  <c r="D27" i="7"/>
  <c r="F27" i="7" s="1"/>
  <c r="B28" i="7"/>
  <c r="H28" i="7" l="1"/>
  <c r="I28" i="7" s="1"/>
  <c r="D28" i="7"/>
  <c r="F28" i="7" s="1"/>
  <c r="O28" i="7" s="1"/>
  <c r="O27" i="7"/>
  <c r="F14" i="1"/>
  <c r="L28" i="7" l="1"/>
  <c r="D14" i="1"/>
  <c r="B14" i="1" s="1"/>
  <c r="B15" i="1" s="1"/>
  <c r="C21" i="1"/>
  <c r="C22" i="1"/>
  <c r="G14" i="1"/>
  <c r="L14" i="1" s="1"/>
  <c r="C18" i="1"/>
  <c r="C19" i="1"/>
  <c r="C20" i="1"/>
  <c r="C17" i="1"/>
  <c r="C16" i="1"/>
  <c r="C15" i="1"/>
  <c r="C14" i="1"/>
  <c r="L30" i="7" l="1"/>
  <c r="L9" i="7"/>
  <c r="K14" i="1"/>
  <c r="D15" i="1"/>
  <c r="B16" i="1"/>
  <c r="F15" i="1"/>
  <c r="N20" i="7" l="1"/>
  <c r="L10" i="7"/>
  <c r="N22" i="7"/>
  <c r="N21" i="7"/>
  <c r="N23" i="7"/>
  <c r="N24" i="7"/>
  <c r="N25" i="7"/>
  <c r="N26" i="7"/>
  <c r="N27" i="7"/>
  <c r="N28" i="7"/>
  <c r="G15" i="1"/>
  <c r="I15" i="1" s="1"/>
  <c r="B17" i="1"/>
  <c r="L15" i="1" l="1"/>
  <c r="D17" i="1"/>
  <c r="K15" i="1"/>
  <c r="G16" i="1" s="1"/>
  <c r="I16" i="1" s="1"/>
  <c r="B18" i="1"/>
  <c r="F17" i="1"/>
  <c r="D18" i="1" l="1"/>
  <c r="K16" i="1"/>
  <c r="B19" i="1"/>
  <c r="G17" i="1" l="1"/>
  <c r="I17" i="1" s="1"/>
  <c r="L16" i="1"/>
  <c r="F18" i="1"/>
  <c r="O18" i="1" s="1"/>
  <c r="B20" i="1"/>
  <c r="F16" i="1"/>
  <c r="K17" i="1" l="1"/>
  <c r="G18" i="1" s="1"/>
  <c r="I18" i="1" s="1"/>
  <c r="F19" i="1"/>
  <c r="O19" i="1" s="1"/>
  <c r="B21" i="1"/>
  <c r="F20" i="1"/>
  <c r="O20" i="1" s="1"/>
  <c r="D21" i="1" l="1"/>
  <c r="L18" i="1"/>
  <c r="K18" i="1"/>
  <c r="G19" i="1" s="1"/>
  <c r="L17" i="1"/>
  <c r="B22" i="1"/>
  <c r="B23" i="1" s="1"/>
  <c r="F21" i="1"/>
  <c r="O21" i="1" s="1"/>
  <c r="B24" i="1" l="1"/>
  <c r="F23" i="1"/>
  <c r="I19" i="1"/>
  <c r="F22" i="1"/>
  <c r="O22" i="1"/>
  <c r="B25" i="1" l="1"/>
  <c r="D24" i="1"/>
  <c r="F24" i="1" s="1"/>
  <c r="L19" i="1"/>
  <c r="K19" i="1"/>
  <c r="G20" i="1" s="1"/>
  <c r="B26" i="1" l="1"/>
  <c r="F25" i="1"/>
  <c r="K20" i="1"/>
  <c r="G21" i="1" s="1"/>
  <c r="I20" i="1"/>
  <c r="L20" i="1" l="1"/>
  <c r="D26" i="1"/>
  <c r="F26" i="1" s="1"/>
  <c r="K21" i="1"/>
  <c r="G22" i="1" s="1"/>
  <c r="I21" i="1"/>
  <c r="L21" i="1" s="1"/>
  <c r="K22" i="1" l="1"/>
  <c r="G23" i="1" s="1"/>
  <c r="I22" i="1"/>
  <c r="N19" i="7"/>
  <c r="N30" i="7" s="1"/>
  <c r="I23" i="1" l="1"/>
  <c r="L23" i="1" s="1"/>
  <c r="K23" i="1"/>
  <c r="G24" i="1" s="1"/>
  <c r="L22" i="1"/>
  <c r="Q27" i="7"/>
  <c r="Q26" i="7"/>
  <c r="Q28" i="7"/>
  <c r="Q20" i="7"/>
  <c r="Q24" i="7"/>
  <c r="Q21" i="7"/>
  <c r="Q22" i="7"/>
  <c r="Q23" i="7"/>
  <c r="Q25" i="7"/>
  <c r="Q19" i="7"/>
  <c r="K24" i="1" l="1"/>
  <c r="G25" i="1" s="1"/>
  <c r="I24" i="1"/>
  <c r="L11" i="7"/>
  <c r="L12" i="7"/>
  <c r="K25" i="1" l="1"/>
  <c r="G26" i="1" s="1"/>
  <c r="I25" i="1"/>
  <c r="L25" i="1" s="1"/>
  <c r="L24" i="1"/>
  <c r="I26" i="1" l="1"/>
  <c r="K26" i="1"/>
  <c r="L26" i="1" l="1"/>
  <c r="I27" i="1"/>
  <c r="L27" i="1" l="1"/>
  <c r="L8" i="1"/>
  <c r="N15" i="1" l="1"/>
  <c r="N22" i="1"/>
  <c r="L9" i="1"/>
  <c r="N16" i="1"/>
  <c r="N23" i="1"/>
  <c r="N19" i="1"/>
  <c r="N17" i="1"/>
  <c r="N21" i="1"/>
  <c r="N18" i="1"/>
  <c r="N20" i="1"/>
  <c r="N25" i="1"/>
  <c r="N24" i="1"/>
  <c r="N26" i="1"/>
  <c r="N27" i="1" l="1"/>
  <c r="Q24" i="1" l="1"/>
  <c r="G11" i="1"/>
  <c r="Q19" i="1"/>
  <c r="Q20" i="1"/>
  <c r="Q25" i="1"/>
  <c r="Q15" i="1"/>
  <c r="Q18" i="1"/>
  <c r="Q26" i="1"/>
  <c r="Q16" i="1"/>
  <c r="Q21" i="1"/>
  <c r="Q17" i="1"/>
  <c r="Q23" i="1"/>
  <c r="Q22" i="1"/>
  <c r="L11" i="1" l="1"/>
  <c r="L10" i="1"/>
</calcChain>
</file>

<file path=xl/sharedStrings.xml><?xml version="1.0" encoding="utf-8"?>
<sst xmlns="http://schemas.openxmlformats.org/spreadsheetml/2006/main" count="48" uniqueCount="33">
  <si>
    <t>VN (USD)</t>
  </si>
  <si>
    <t>TIR</t>
  </si>
  <si>
    <t>Fecha de Emisión y Liquidación</t>
  </si>
  <si>
    <t>Tasa Fija a Licitar</t>
  </si>
  <si>
    <t>Duration (meses)</t>
  </si>
  <si>
    <t>Precio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</si>
  <si>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</si>
  <si>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</si>
  <si>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</si>
  <si>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</si>
  <si>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</si>
  <si>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</si>
  <si>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</si>
  <si>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</si>
  <si>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</si>
  <si>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</si>
  <si>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</si>
  <si>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</si>
  <si>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Precio que ha tenido a su disposición.
</t>
  </si>
  <si>
    <t>Duration (años)</t>
  </si>
  <si>
    <t xml:space="preserve"> </t>
  </si>
  <si>
    <t>TNA (90 d)</t>
  </si>
  <si>
    <t>Fecha de Emisión Original</t>
  </si>
  <si>
    <t>TNA</t>
  </si>
  <si>
    <t>Cupón Tasa Fija (TNA)</t>
  </si>
  <si>
    <t xml:space="preserve">VN </t>
  </si>
  <si>
    <t xml:space="preserve">Precio de Emisión | A licitar </t>
  </si>
  <si>
    <t>ON Clase XXXIX Adicionales - Dólar Cable</t>
  </si>
  <si>
    <t>58,82 meses aprox. (vto. 22/07/2030)</t>
  </si>
  <si>
    <t>ON YPF S.A. Clase XL</t>
  </si>
  <si>
    <t>Dólar MEP - 36 meses</t>
  </si>
  <si>
    <t>Fecha de Reapertura</t>
  </si>
  <si>
    <t>Total USD Cable a Integrar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</si>
</sst>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  <numFmt numFmtId="173" formatCode="0.000%"/>
    <numFmt numFmtId="174" formatCode="#,##0_ ;\-#,##0\ "/>
  </numFmts>
  <fonts count="15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  <xf numFmtId="0" fontId="2" fillId="0" borderId="0">
      <alignment vertical="top"/>
    </xf>
    <xf numFmtId="0" fontId="14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8" fillId="2" borderId="0" xfId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9" fontId="7" fillId="5" borderId="1" xfId="3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6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0" borderId="0" xfId="0" applyNumberFormat="1" applyFont="1" applyProtection="1">
      <protection hidden="1"/>
    </xf>
    <xf numFmtId="167" fontId="4" fillId="5" borderId="7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8" xfId="0" applyNumberFormat="1" applyFont="1" applyFill="1" applyBorder="1" applyAlignment="1" applyProtection="1">
      <alignment horizontal="right" indent="1"/>
      <protection hidden="1"/>
    </xf>
    <xf numFmtId="168" fontId="4" fillId="5" borderId="9" xfId="0" applyNumberFormat="1" applyFont="1" applyFill="1" applyBorder="1" applyProtection="1"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4" fillId="5" borderId="10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8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5" applyNumberFormat="1" applyFont="1" applyFill="1" applyBorder="1" applyAlignment="1" applyProtection="1">
      <alignment horizontal="center" vertical="center" wrapText="1"/>
      <protection hidden="1"/>
    </xf>
    <xf numFmtId="166" fontId="3" fillId="0" borderId="1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7" fillId="4" borderId="3" xfId="3" applyNumberFormat="1" applyFont="1" applyFill="1" applyBorder="1" applyAlignment="1" applyProtection="1">
      <alignment vertical="center" wrapText="1"/>
      <protection locked="0" hidden="1"/>
    </xf>
    <xf numFmtId="164" fontId="6" fillId="3" borderId="3" xfId="0" applyNumberFormat="1" applyFont="1" applyFill="1" applyBorder="1" applyAlignment="1" applyProtection="1">
      <alignment vertical="center"/>
      <protection hidden="1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7" applyFont="1" applyProtection="1">
      <protection hidden="1"/>
    </xf>
    <xf numFmtId="0" fontId="3" fillId="0" borderId="0" xfId="4" applyFont="1"/>
    <xf numFmtId="0" fontId="4" fillId="0" borderId="0" xfId="4" applyFont="1"/>
    <xf numFmtId="164" fontId="4" fillId="0" borderId="0" xfId="4" applyNumberFormat="1" applyFont="1"/>
    <xf numFmtId="0" fontId="3" fillId="2" borderId="0" xfId="4" applyFont="1" applyFill="1"/>
    <xf numFmtId="0" fontId="4" fillId="0" borderId="0" xfId="4" applyFont="1" applyProtection="1">
      <protection hidden="1"/>
    </xf>
    <xf numFmtId="164" fontId="4" fillId="0" borderId="0" xfId="4" applyNumberFormat="1" applyFont="1" applyProtection="1">
      <protection hidden="1"/>
    </xf>
    <xf numFmtId="0" fontId="3" fillId="2" borderId="0" xfId="4" applyFont="1" applyFill="1" applyProtection="1">
      <protection hidden="1"/>
    </xf>
    <xf numFmtId="0" fontId="3" fillId="0" borderId="0" xfId="4" applyFont="1" applyProtection="1">
      <protection hidden="1"/>
    </xf>
    <xf numFmtId="166" fontId="7" fillId="4" borderId="1" xfId="8" applyNumberFormat="1" applyFont="1" applyFill="1" applyBorder="1" applyProtection="1">
      <protection locked="0" hidden="1"/>
    </xf>
    <xf numFmtId="165" fontId="8" fillId="2" borderId="0" xfId="8" applyFont="1" applyFill="1" applyBorder="1" applyProtection="1">
      <protection hidden="1"/>
    </xf>
    <xf numFmtId="165" fontId="7" fillId="5" borderId="1" xfId="8" applyFont="1" applyFill="1" applyBorder="1" applyProtection="1">
      <protection hidden="1"/>
    </xf>
    <xf numFmtId="0" fontId="5" fillId="0" borderId="0" xfId="4" applyFont="1" applyProtection="1">
      <protection hidden="1"/>
    </xf>
    <xf numFmtId="0" fontId="9" fillId="2" borderId="0" xfId="4" applyFont="1" applyFill="1" applyAlignment="1" applyProtection="1">
      <alignment horizontal="center"/>
      <protection hidden="1"/>
    </xf>
    <xf numFmtId="0" fontId="10" fillId="0" borderId="0" xfId="4" applyFont="1" applyProtection="1">
      <protection hidden="1"/>
    </xf>
    <xf numFmtId="0" fontId="10" fillId="2" borderId="0" xfId="4" applyFont="1" applyFill="1" applyProtection="1">
      <protection hidden="1"/>
    </xf>
    <xf numFmtId="164" fontId="11" fillId="0" borderId="4" xfId="4" applyNumberFormat="1" applyFont="1" applyBorder="1" applyAlignment="1">
      <alignment horizontal="center" vertical="center" wrapText="1"/>
    </xf>
    <xf numFmtId="164" fontId="5" fillId="0" borderId="0" xfId="4" applyNumberFormat="1" applyFont="1" applyAlignment="1" applyProtection="1">
      <alignment horizontal="center" vertical="center" wrapText="1"/>
      <protection hidden="1"/>
    </xf>
    <xf numFmtId="0" fontId="11" fillId="2" borderId="0" xfId="4" applyFont="1" applyFill="1" applyAlignment="1" applyProtection="1">
      <alignment horizontal="center" vertical="center" wrapText="1"/>
      <protection hidden="1"/>
    </xf>
    <xf numFmtId="0" fontId="11" fillId="0" borderId="4" xfId="7" applyFont="1" applyBorder="1" applyAlignment="1">
      <alignment horizontal="center" vertical="center" wrapText="1"/>
    </xf>
    <xf numFmtId="0" fontId="3" fillId="0" borderId="0" xfId="7" applyFont="1" applyAlignment="1">
      <alignment horizontal="center" vertical="center" wrapText="1"/>
    </xf>
    <xf numFmtId="0" fontId="3" fillId="0" borderId="0" xfId="4" applyFont="1" applyAlignment="1" applyProtection="1">
      <alignment horizontal="center" vertical="center" wrapText="1"/>
      <protection hidden="1"/>
    </xf>
    <xf numFmtId="0" fontId="3" fillId="0" borderId="0" xfId="4" applyFont="1" applyAlignment="1">
      <alignment horizontal="center" vertical="center" wrapText="1"/>
    </xf>
    <xf numFmtId="167" fontId="10" fillId="0" borderId="0" xfId="7" applyNumberFormat="1" applyFont="1" applyProtection="1">
      <protection hidden="1"/>
    </xf>
    <xf numFmtId="173" fontId="3" fillId="0" borderId="0" xfId="4" applyNumberFormat="1" applyFont="1"/>
    <xf numFmtId="167" fontId="4" fillId="0" borderId="0" xfId="4" applyNumberFormat="1" applyFont="1" applyProtection="1">
      <protection hidden="1"/>
    </xf>
    <xf numFmtId="168" fontId="4" fillId="5" borderId="9" xfId="4" applyNumberFormat="1" applyFont="1" applyFill="1" applyBorder="1" applyProtection="1">
      <protection hidden="1"/>
    </xf>
    <xf numFmtId="170" fontId="10" fillId="2" borderId="0" xfId="9" applyNumberFormat="1" applyFont="1" applyFill="1" applyBorder="1" applyAlignment="1" applyProtection="1">
      <alignment horizontal="right" indent="1"/>
      <protection hidden="1"/>
    </xf>
    <xf numFmtId="2" fontId="10" fillId="0" borderId="0" xfId="7" applyNumberFormat="1" applyFont="1" applyAlignment="1">
      <alignment horizontal="right" indent="1"/>
    </xf>
    <xf numFmtId="0" fontId="3" fillId="0" borderId="0" xfId="7" applyFont="1"/>
    <xf numFmtId="1" fontId="10" fillId="0" borderId="0" xfId="7" applyNumberFormat="1" applyFont="1" applyAlignment="1">
      <alignment horizontal="right" indent="1"/>
    </xf>
    <xf numFmtId="171" fontId="3" fillId="0" borderId="0" xfId="7" applyNumberFormat="1" applyFont="1"/>
    <xf numFmtId="9" fontId="3" fillId="0" borderId="0" xfId="4" applyNumberFormat="1" applyFont="1"/>
    <xf numFmtId="167" fontId="10" fillId="0" borderId="0" xfId="4" applyNumberFormat="1" applyFont="1"/>
    <xf numFmtId="168" fontId="1" fillId="6" borderId="11" xfId="5" applyNumberFormat="1" applyFont="1" applyFill="1" applyBorder="1" applyAlignment="1" applyProtection="1">
      <alignment horizontal="center" vertical="center" wrapText="1"/>
      <protection hidden="1"/>
    </xf>
    <xf numFmtId="172" fontId="1" fillId="6" borderId="11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12" xfId="5" applyNumberFormat="1" applyFont="1" applyFill="1" applyBorder="1" applyAlignment="1" applyProtection="1">
      <alignment horizontal="center" vertical="center" wrapText="1"/>
      <protection hidden="1"/>
    </xf>
    <xf numFmtId="2" fontId="10" fillId="2" borderId="0" xfId="4" applyNumberFormat="1" applyFont="1" applyFill="1" applyAlignment="1" applyProtection="1">
      <alignment horizontal="right" indent="1"/>
      <protection hidden="1"/>
    </xf>
    <xf numFmtId="166" fontId="3" fillId="0" borderId="13" xfId="7" applyNumberFormat="1" applyFont="1" applyBorder="1"/>
    <xf numFmtId="10" fontId="7" fillId="5" borderId="3" xfId="3" applyNumberFormat="1" applyFont="1" applyFill="1" applyBorder="1" applyAlignment="1" applyProtection="1">
      <alignment vertical="center"/>
      <protection hidden="1"/>
    </xf>
    <xf numFmtId="10" fontId="4" fillId="0" borderId="0" xfId="4" applyNumberFormat="1" applyFont="1" applyProtection="1">
      <protection hidden="1"/>
    </xf>
    <xf numFmtId="166" fontId="10" fillId="0" borderId="0" xfId="8" applyNumberFormat="1" applyFont="1" applyAlignment="1" applyProtection="1"/>
    <xf numFmtId="164" fontId="1" fillId="3" borderId="1" xfId="7" applyNumberFormat="1" applyFont="1" applyFill="1" applyBorder="1" applyAlignment="1" applyProtection="1">
      <alignment horizontal="left"/>
      <protection hidden="1"/>
    </xf>
    <xf numFmtId="164" fontId="1" fillId="3" borderId="3" xfId="7" applyNumberFormat="1" applyFont="1" applyFill="1" applyBorder="1" applyAlignment="1" applyProtection="1">
      <alignment vertical="center"/>
      <protection hidden="1"/>
    </xf>
    <xf numFmtId="43" fontId="3" fillId="0" borderId="0" xfId="10" applyFont="1"/>
    <xf numFmtId="164" fontId="1" fillId="3" borderId="0" xfId="7" applyNumberFormat="1" applyFont="1" applyFill="1" applyAlignment="1" applyProtection="1">
      <alignment horizontal="left"/>
      <protection hidden="1"/>
    </xf>
    <xf numFmtId="167" fontId="10" fillId="2" borderId="0" xfId="7" applyNumberFormat="1" applyFont="1" applyFill="1" applyProtection="1">
      <protection hidden="1"/>
    </xf>
    <xf numFmtId="167" fontId="4" fillId="5" borderId="10" xfId="7" applyNumberFormat="1" applyFont="1" applyFill="1" applyBorder="1" applyProtection="1">
      <protection hidden="1"/>
    </xf>
    <xf numFmtId="0" fontId="1" fillId="6" borderId="7" xfId="5" applyFont="1" applyFill="1" applyBorder="1" applyAlignment="1" applyProtection="1">
      <alignment horizontal="center" vertical="center" wrapText="1"/>
      <protection hidden="1"/>
    </xf>
    <xf numFmtId="0" fontId="1" fillId="6" borderId="8" xfId="5" applyFont="1" applyFill="1" applyBorder="1" applyAlignment="1" applyProtection="1">
      <alignment horizontal="center" vertical="center" wrapText="1"/>
      <protection hidden="1"/>
    </xf>
    <xf numFmtId="0" fontId="1" fillId="6" borderId="14" xfId="5" applyFont="1" applyFill="1" applyBorder="1" applyAlignment="1" applyProtection="1">
      <alignment horizontal="center" vertical="center" wrapText="1"/>
      <protection hidden="1"/>
    </xf>
    <xf numFmtId="172" fontId="4" fillId="5" borderId="0" xfId="4" applyNumberFormat="1" applyFont="1" applyFill="1" applyProtection="1">
      <protection hidden="1"/>
    </xf>
    <xf numFmtId="174" fontId="4" fillId="5" borderId="0" xfId="4" applyNumberFormat="1" applyFont="1" applyFill="1" applyAlignment="1" applyProtection="1">
      <alignment horizontal="right" indent="1"/>
      <protection hidden="1"/>
    </xf>
    <xf numFmtId="168" fontId="4" fillId="5" borderId="0" xfId="4" applyNumberFormat="1" applyFont="1" applyFill="1" applyProtection="1">
      <protection hidden="1"/>
    </xf>
    <xf numFmtId="167" fontId="4" fillId="5" borderId="15" xfId="7" applyNumberFormat="1" applyFont="1" applyFill="1" applyBorder="1" applyProtection="1">
      <protection hidden="1"/>
    </xf>
    <xf numFmtId="172" fontId="4" fillId="5" borderId="16" xfId="4" applyNumberFormat="1" applyFont="1" applyFill="1" applyBorder="1" applyProtection="1">
      <protection hidden="1"/>
    </xf>
    <xf numFmtId="174" fontId="4" fillId="5" borderId="16" xfId="4" applyNumberFormat="1" applyFont="1" applyFill="1" applyBorder="1" applyAlignment="1" applyProtection="1">
      <alignment horizontal="right" indent="1"/>
      <protection hidden="1"/>
    </xf>
    <xf numFmtId="168" fontId="4" fillId="5" borderId="16" xfId="4" applyNumberFormat="1" applyFont="1" applyFill="1" applyBorder="1" applyProtection="1">
      <protection hidden="1"/>
    </xf>
    <xf numFmtId="168" fontId="4" fillId="5" borderId="17" xfId="4" applyNumberFormat="1" applyFont="1" applyFill="1" applyBorder="1" applyProtection="1">
      <protection hidden="1"/>
    </xf>
    <xf numFmtId="10" fontId="7" fillId="4" borderId="3" xfId="3" applyNumberFormat="1" applyFont="1" applyFill="1" applyBorder="1" applyAlignment="1" applyProtection="1">
      <alignment vertical="center"/>
      <protection locked="0" hidden="1"/>
    </xf>
    <xf numFmtId="165" fontId="7" fillId="5" borderId="3" xfId="8" applyFont="1" applyFill="1" applyBorder="1" applyAlignment="1" applyProtection="1">
      <alignment vertical="center"/>
      <protection hidden="1"/>
    </xf>
    <xf numFmtId="168" fontId="4" fillId="5" borderId="0" xfId="4" applyNumberFormat="1" applyFont="1" applyFill="1" applyAlignment="1" applyProtection="1">
      <alignment horizontal="right" indent="1"/>
      <protection hidden="1"/>
    </xf>
    <xf numFmtId="167" fontId="4" fillId="7" borderId="7" xfId="7" applyNumberFormat="1" applyFont="1" applyFill="1" applyBorder="1" applyProtection="1">
      <protection hidden="1"/>
    </xf>
    <xf numFmtId="172" fontId="4" fillId="7" borderId="8" xfId="4" applyNumberFormat="1" applyFont="1" applyFill="1" applyBorder="1" applyProtection="1">
      <protection hidden="1"/>
    </xf>
    <xf numFmtId="168" fontId="4" fillId="7" borderId="8" xfId="4" applyNumberFormat="1" applyFont="1" applyFill="1" applyBorder="1" applyAlignment="1" applyProtection="1">
      <alignment horizontal="right" indent="1"/>
      <protection hidden="1"/>
    </xf>
    <xf numFmtId="168" fontId="4" fillId="7" borderId="8" xfId="4" applyNumberFormat="1" applyFont="1" applyFill="1" applyBorder="1" applyProtection="1">
      <protection hidden="1"/>
    </xf>
    <xf numFmtId="168" fontId="4" fillId="7" borderId="14" xfId="4" applyNumberFormat="1" applyFont="1" applyFill="1" applyBorder="1" applyProtection="1">
      <protection hidden="1"/>
    </xf>
    <xf numFmtId="0" fontId="1" fillId="3" borderId="2" xfId="7" applyFont="1" applyFill="1" applyBorder="1" applyAlignment="1" applyProtection="1">
      <alignment horizontal="right" inden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</cellXfs>
  <cellStyles count="11">
    <cellStyle name="Millares" xfId="1" builtinId="3"/>
    <cellStyle name="Millares 2" xfId="8" xr:uid="{1DDE9FC5-E73F-4907-9B65-19EB14F01754}"/>
    <cellStyle name="Millares 3" xfId="10" xr:uid="{97E276B3-6E41-4B57-BBD1-24415954B914}"/>
    <cellStyle name="Moneda" xfId="2" builtinId="4"/>
    <cellStyle name="Moneda 2" xfId="9" xr:uid="{560B4BAA-BB97-4FDF-A998-EFEFA184E543}"/>
    <cellStyle name="Normal" xfId="0" builtinId="0"/>
    <cellStyle name="Normal 2" xfId="4" xr:uid="{EBC8AC57-EE1D-40F8-A643-B7F21F4937FD}"/>
    <cellStyle name="Normal 3" xfId="6" xr:uid="{5D768737-B89B-4158-BA02-EEA358076A1B}"/>
    <cellStyle name="Normal 4" xfId="7" xr:uid="{15A321D8-4C4C-4208-9918-C4BAE3DF12A9}"/>
    <cellStyle name="Normal_Calculadora Garbarino 45_v1" xfId="5" xr:uid="{5AE9708E-5E6C-442A-86E7-23EBBB0BEED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1521616</xdr:colOff>
      <xdr:row>0</xdr:row>
      <xdr:rowOff>149060</xdr:rowOff>
    </xdr:from>
    <xdr:to>
      <xdr:col>12</xdr:col>
      <xdr:colOff>74863</xdr:colOff>
      <xdr:row>3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46E1B8-B589-4667-822C-0A26F7D0D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11647" y="149060"/>
          <a:ext cx="1494091" cy="517690"/>
        </a:xfrm>
        <a:prstGeom prst="rect">
          <a:avLst/>
        </a:prstGeom>
      </xdr:spPr>
    </xdr:pic>
    <xdr:clientData/>
  </xdr:twoCellAnchor>
  <xdr:twoCellAnchor editAs="oneCell">
    <xdr:from>
      <xdr:col>5</xdr:col>
      <xdr:colOff>11906</xdr:colOff>
      <xdr:row>0</xdr:row>
      <xdr:rowOff>154781</xdr:rowOff>
    </xdr:from>
    <xdr:to>
      <xdr:col>5</xdr:col>
      <xdr:colOff>1510506</xdr:colOff>
      <xdr:row>3</xdr:row>
      <xdr:rowOff>188541</xdr:rowOff>
    </xdr:to>
    <xdr:pic>
      <xdr:nvPicPr>
        <xdr:cNvPr id="4" name="Picture 3" descr="YPF - Wikipedia, la enciclopedia libre">
          <a:extLst>
            <a:ext uri="{FF2B5EF4-FFF2-40B4-BE49-F238E27FC236}">
              <a16:creationId xmlns:a16="http://schemas.microsoft.com/office/drawing/2014/main" id="{CF980FFD-0CD7-4A3F-A6AE-4C3449726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906" y="154781"/>
          <a:ext cx="1498600" cy="605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1100666</xdr:colOff>
      <xdr:row>1</xdr:row>
      <xdr:rowOff>7056</xdr:rowOff>
    </xdr:from>
    <xdr:to>
      <xdr:col>11</xdr:col>
      <xdr:colOff>1037870</xdr:colOff>
      <xdr:row>3</xdr:row>
      <xdr:rowOff>125236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0FBF603-5DCC-4C92-B0E5-EEAA6FABB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41333" y="190500"/>
          <a:ext cx="1390649" cy="485069"/>
        </a:xfrm>
        <a:prstGeom prst="rect">
          <a:avLst/>
        </a:prstGeom>
      </xdr:spPr>
    </xdr:pic>
    <xdr:clientData/>
  </xdr:twoCellAnchor>
  <xdr:twoCellAnchor editAs="oneCell">
    <xdr:from>
      <xdr:col>5</xdr:col>
      <xdr:colOff>11466</xdr:colOff>
      <xdr:row>0</xdr:row>
      <xdr:rowOff>27780</xdr:rowOff>
    </xdr:from>
    <xdr:to>
      <xdr:col>5</xdr:col>
      <xdr:colOff>1510066</xdr:colOff>
      <xdr:row>3</xdr:row>
      <xdr:rowOff>61540</xdr:rowOff>
    </xdr:to>
    <xdr:pic>
      <xdr:nvPicPr>
        <xdr:cNvPr id="2" name="Picture 3" descr="YPF - Wikipedia, la enciclopedia libre">
          <a:extLst>
            <a:ext uri="{FF2B5EF4-FFF2-40B4-BE49-F238E27FC236}">
              <a16:creationId xmlns:a16="http://schemas.microsoft.com/office/drawing/2014/main" id="{742DFB8A-E61C-464E-A4F4-7812C6D80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029" y="27780"/>
          <a:ext cx="1498600" cy="605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68C82-6B54-4ADA-BC22-C046DB829E23}">
  <sheetPr>
    <pageSetUpPr fitToPage="1"/>
  </sheetPr>
  <dimension ref="A1:CZ59"/>
  <sheetViews>
    <sheetView showGridLines="0" tabSelected="1" zoomScale="80" zoomScaleNormal="80" workbookViewId="0">
      <selection activeCell="G13" sqref="G13"/>
    </sheetView>
  </sheetViews>
  <sheetFormatPr baseColWidth="10" defaultColWidth="11.42578125" defaultRowHeight="15" customHeight="1" zeroHeight="1" outlineLevelCol="1"/>
  <cols>
    <col min="1" max="1" width="17.140625" style="55" customWidth="1"/>
    <col min="2" max="2" width="37.28515625" style="55" hidden="1" customWidth="1" outlineLevel="1"/>
    <col min="3" max="3" width="20.85546875" style="55" hidden="1" customWidth="1" outlineLevel="1"/>
    <col min="4" max="4" width="38" style="55" hidden="1" customWidth="1" outlineLevel="1"/>
    <col min="5" max="5" width="11.140625" style="56" hidden="1" customWidth="1" outlineLevel="1"/>
    <col min="6" max="6" width="40.140625" style="57" customWidth="1" collapsed="1"/>
    <col min="7" max="7" width="17.140625" style="56" customWidth="1"/>
    <col min="8" max="8" width="13.7109375" style="56" bestFit="1" customWidth="1"/>
    <col min="9" max="9" width="18.140625" style="56" customWidth="1"/>
    <col min="10" max="10" width="18.5703125" style="56" bestFit="1" customWidth="1"/>
    <col min="11" max="11" width="24.7109375" style="56" customWidth="1"/>
    <col min="12" max="12" width="19.42578125" style="56" customWidth="1"/>
    <col min="13" max="13" width="19.7109375" style="58" customWidth="1"/>
    <col min="14" max="14" width="22.7109375" style="55" hidden="1" customWidth="1" outlineLevel="1"/>
    <col min="15" max="15" width="14.42578125" style="55" hidden="1" customWidth="1" outlineLevel="1"/>
    <col min="16" max="16" width="13.5703125" style="55" hidden="1" customWidth="1" outlineLevel="1"/>
    <col min="17" max="17" width="32.7109375" style="55" hidden="1" customWidth="1" outlineLevel="1"/>
    <col min="18" max="18" width="19.7109375" style="55" customWidth="1" collapsed="1"/>
    <col min="19" max="19" width="19.7109375" style="55" customWidth="1"/>
    <col min="20" max="88" width="11.42578125" style="55" customWidth="1"/>
    <col min="89" max="90" width="11.42578125" style="55"/>
    <col min="91" max="91" width="11.42578125" style="55" hidden="1" customWidth="1" outlineLevel="1"/>
    <col min="92" max="92" width="11.42578125" style="55" hidden="1" customWidth="1" outlineLevel="1" collapsed="1"/>
    <col min="93" max="93" width="11.42578125" style="55" hidden="1" customWidth="1" outlineLevel="1"/>
    <col min="94" max="94" width="11.42578125" style="55" hidden="1" customWidth="1" outlineLevel="1" collapsed="1"/>
    <col min="95" max="95" width="11.42578125" style="55" hidden="1" customWidth="1" outlineLevel="1"/>
    <col min="96" max="97" width="0" style="55" hidden="1" customWidth="1" outlineLevel="1" collapsed="1"/>
    <col min="98" max="98" width="0" style="55" hidden="1" customWidth="1" outlineLevel="1"/>
    <col min="99" max="99" width="0" style="55" hidden="1" customWidth="1" outlineLevel="1" collapsed="1"/>
    <col min="100" max="100" width="0" style="55" hidden="1" customWidth="1" outlineLevel="1"/>
    <col min="101" max="102" width="0" style="55" hidden="1" customWidth="1" outlineLevel="1" collapsed="1"/>
    <col min="103" max="103" width="0" style="55" hidden="1" customWidth="1" outlineLevel="1"/>
    <col min="104" max="104" width="11.42578125" style="55" outlineLevel="1" collapsed="1"/>
    <col min="105" max="16384" width="11.42578125" style="55" outlineLevel="1"/>
  </cols>
  <sheetData>
    <row r="1" spans="2:18" ht="15" customHeight="1"/>
    <row r="2" spans="2:18">
      <c r="E2" s="59"/>
      <c r="F2" s="60"/>
      <c r="G2" s="59"/>
      <c r="H2" s="59"/>
      <c r="I2" s="59"/>
      <c r="J2" s="59"/>
      <c r="K2" s="59"/>
      <c r="L2" s="59"/>
      <c r="M2" s="61"/>
      <c r="N2" s="62"/>
      <c r="O2" s="62"/>
      <c r="P2" s="62"/>
      <c r="Q2" s="62"/>
      <c r="R2" s="62"/>
    </row>
    <row r="3" spans="2:18">
      <c r="E3" s="59"/>
      <c r="F3" s="60"/>
      <c r="G3" s="59"/>
      <c r="H3" s="59"/>
      <c r="I3" s="59"/>
      <c r="J3" s="59"/>
      <c r="K3" s="59"/>
      <c r="L3" s="59"/>
      <c r="M3" s="61"/>
      <c r="N3" s="62"/>
      <c r="O3" s="62"/>
      <c r="P3" s="62"/>
      <c r="Q3" s="62"/>
      <c r="R3" s="62"/>
    </row>
    <row r="4" spans="2:18">
      <c r="E4" s="59"/>
      <c r="F4" s="60"/>
      <c r="G4" s="59"/>
      <c r="H4" s="59"/>
      <c r="I4" s="59"/>
      <c r="J4" s="59"/>
      <c r="K4" s="59"/>
      <c r="L4" s="59"/>
      <c r="M4" s="61"/>
      <c r="N4" s="62"/>
      <c r="O4" s="62"/>
      <c r="P4" s="62"/>
      <c r="Q4" s="62"/>
      <c r="R4" s="62"/>
    </row>
    <row r="5" spans="2:18">
      <c r="E5" s="59"/>
      <c r="F5" s="60"/>
      <c r="G5" s="59"/>
      <c r="H5" s="59"/>
      <c r="I5" s="59"/>
      <c r="J5" s="59"/>
      <c r="K5" s="59"/>
      <c r="L5" s="59"/>
      <c r="M5" s="61"/>
      <c r="N5" s="62"/>
      <c r="O5" s="62"/>
      <c r="P5" s="62"/>
      <c r="Q5" s="62"/>
      <c r="R5" s="62"/>
    </row>
    <row r="6" spans="2:18">
      <c r="E6" s="59"/>
      <c r="F6" s="6" t="s">
        <v>27</v>
      </c>
      <c r="G6" s="54"/>
      <c r="H6" s="59"/>
      <c r="I6" s="59"/>
      <c r="J6" s="59"/>
      <c r="K6" s="59"/>
      <c r="L6" s="59"/>
      <c r="M6" s="61"/>
      <c r="N6" s="62"/>
      <c r="O6" s="62"/>
      <c r="P6" s="62"/>
      <c r="Q6" s="62"/>
      <c r="R6" s="62"/>
    </row>
    <row r="7" spans="2:18">
      <c r="E7" s="59"/>
      <c r="F7" s="6" t="s">
        <v>28</v>
      </c>
      <c r="G7" s="59"/>
      <c r="H7" s="59"/>
      <c r="I7" s="59"/>
      <c r="J7" s="59"/>
      <c r="K7" s="59"/>
      <c r="L7" s="59"/>
      <c r="M7" s="61"/>
      <c r="N7" s="62"/>
      <c r="O7" s="62"/>
      <c r="P7" s="62"/>
      <c r="Q7" s="62"/>
      <c r="R7" s="62"/>
    </row>
    <row r="8" spans="2:18">
      <c r="E8" s="59"/>
      <c r="F8" s="60"/>
      <c r="G8" s="59"/>
      <c r="H8" s="59"/>
      <c r="I8" s="59"/>
      <c r="J8" s="59"/>
      <c r="K8" s="59"/>
      <c r="L8" s="59"/>
      <c r="M8" s="61"/>
      <c r="N8" s="62"/>
      <c r="O8" s="62"/>
      <c r="P8" s="62"/>
      <c r="Q8" s="62"/>
      <c r="R8" s="62"/>
    </row>
    <row r="9" spans="2:18">
      <c r="E9" s="59"/>
      <c r="F9" s="96" t="s">
        <v>22</v>
      </c>
      <c r="G9" s="11">
        <v>45860</v>
      </c>
      <c r="H9" s="59"/>
      <c r="I9" s="59"/>
      <c r="J9" s="121" t="s">
        <v>1</v>
      </c>
      <c r="K9" s="121"/>
      <c r="L9" s="9">
        <f>+XIRR(L18:L28,F18:F28)</f>
        <v>8.4204521775245664E-2</v>
      </c>
      <c r="M9" s="10"/>
      <c r="N9" s="62"/>
      <c r="O9" s="62"/>
      <c r="P9" s="62"/>
      <c r="Q9" s="62"/>
      <c r="R9" s="62"/>
    </row>
    <row r="10" spans="2:18">
      <c r="E10" s="59"/>
      <c r="F10" s="96" t="s">
        <v>31</v>
      </c>
      <c r="G10" s="11">
        <v>45897</v>
      </c>
      <c r="H10" s="59"/>
      <c r="I10" s="59"/>
      <c r="J10" s="121" t="s">
        <v>23</v>
      </c>
      <c r="K10" s="121"/>
      <c r="L10" s="9">
        <f>+NOMINAL(L9,2)</f>
        <v>8.2502842039112956E-2</v>
      </c>
      <c r="M10" s="64"/>
      <c r="N10" s="62"/>
      <c r="O10" s="62"/>
      <c r="P10" s="62"/>
      <c r="Q10" s="62"/>
      <c r="R10" s="62"/>
    </row>
    <row r="11" spans="2:18">
      <c r="E11" s="59"/>
      <c r="F11" s="97" t="s">
        <v>24</v>
      </c>
      <c r="G11" s="93">
        <v>8.7499999999999994E-2</v>
      </c>
      <c r="H11" s="59"/>
      <c r="I11" s="59"/>
      <c r="J11" s="121" t="s">
        <v>4</v>
      </c>
      <c r="K11" s="121"/>
      <c r="L11" s="65">
        <f>+SUM(Q18:Q28)/(365/12)</f>
        <v>48.789330209646295</v>
      </c>
      <c r="M11" s="64"/>
      <c r="N11" s="62"/>
      <c r="O11" s="62"/>
      <c r="P11" s="62"/>
      <c r="Q11" s="62"/>
      <c r="R11" s="62"/>
    </row>
    <row r="12" spans="2:18">
      <c r="B12" s="98"/>
      <c r="E12" s="59"/>
      <c r="F12" s="96" t="s">
        <v>25</v>
      </c>
      <c r="G12" s="63">
        <v>100</v>
      </c>
      <c r="H12" s="94"/>
      <c r="I12" s="66"/>
      <c r="J12" s="121" t="s">
        <v>19</v>
      </c>
      <c r="K12" s="121"/>
      <c r="L12" s="65">
        <f>+SUM(Q18:Q29)/(365)</f>
        <v>4.0657775174705248</v>
      </c>
      <c r="M12" s="67"/>
      <c r="N12" s="68"/>
      <c r="O12" s="62"/>
      <c r="P12" s="62"/>
      <c r="Q12" s="62"/>
      <c r="R12" s="62"/>
    </row>
    <row r="13" spans="2:18">
      <c r="E13" s="59"/>
      <c r="F13" s="99" t="s">
        <v>26</v>
      </c>
      <c r="G13" s="113">
        <v>1.0285</v>
      </c>
      <c r="H13" s="59"/>
      <c r="I13" s="59"/>
      <c r="J13" s="59"/>
      <c r="K13" s="59"/>
      <c r="L13" s="59"/>
      <c r="M13" s="69"/>
      <c r="N13" s="68"/>
      <c r="O13" s="62"/>
      <c r="P13" s="62"/>
      <c r="Q13" s="62"/>
      <c r="R13" s="62"/>
    </row>
    <row r="14" spans="2:18">
      <c r="E14" s="59"/>
      <c r="F14" s="97" t="s">
        <v>32</v>
      </c>
      <c r="G14" s="114">
        <f>+G12*G13</f>
        <v>102.85</v>
      </c>
      <c r="H14" s="59"/>
      <c r="I14" s="59"/>
      <c r="J14" s="59"/>
      <c r="K14" s="59"/>
      <c r="L14" s="59"/>
      <c r="M14" s="69"/>
      <c r="N14" s="68"/>
      <c r="O14" s="62"/>
      <c r="P14" s="62"/>
      <c r="Q14" s="62"/>
      <c r="R14" s="62"/>
    </row>
    <row r="15" spans="2:18" ht="15.75" thickBot="1">
      <c r="E15" s="59"/>
      <c r="H15" s="59"/>
      <c r="I15" s="59"/>
      <c r="J15" s="59"/>
      <c r="K15" s="59"/>
      <c r="L15" s="59"/>
      <c r="M15" s="69"/>
      <c r="N15" s="68"/>
      <c r="O15" s="62"/>
      <c r="P15" s="62"/>
      <c r="Q15" s="62"/>
      <c r="R15" s="62"/>
    </row>
    <row r="16" spans="2:18" s="76" customFormat="1" ht="28.5" customHeight="1" thickBot="1">
      <c r="B16" s="70"/>
      <c r="C16" s="70" t="s">
        <v>6</v>
      </c>
      <c r="D16" s="70"/>
      <c r="E16" s="71"/>
      <c r="F16" s="102" t="s">
        <v>7</v>
      </c>
      <c r="G16" s="103" t="s">
        <v>8</v>
      </c>
      <c r="H16" s="103" t="s">
        <v>9</v>
      </c>
      <c r="I16" s="103" t="s">
        <v>10</v>
      </c>
      <c r="J16" s="103" t="s">
        <v>11</v>
      </c>
      <c r="K16" s="103" t="s">
        <v>12</v>
      </c>
      <c r="L16" s="104" t="s">
        <v>13</v>
      </c>
      <c r="M16" s="72"/>
      <c r="N16" s="73" t="s">
        <v>14</v>
      </c>
      <c r="O16" s="73" t="s">
        <v>15</v>
      </c>
      <c r="P16" s="74"/>
      <c r="Q16" s="73" t="s">
        <v>16</v>
      </c>
      <c r="R16" s="75"/>
    </row>
    <row r="17" spans="2:18">
      <c r="B17" s="77"/>
      <c r="C17" s="78"/>
      <c r="D17" s="77"/>
      <c r="E17" s="79"/>
      <c r="F17" s="116">
        <f>+G9</f>
        <v>45860</v>
      </c>
      <c r="G17" s="117">
        <f>+G12</f>
        <v>100</v>
      </c>
      <c r="H17" s="118"/>
      <c r="I17" s="119"/>
      <c r="J17" s="119"/>
      <c r="K17" s="117"/>
      <c r="L17" s="120"/>
      <c r="M17" s="81"/>
      <c r="N17" s="82"/>
      <c r="O17" s="82"/>
      <c r="P17" s="83"/>
      <c r="Q17" s="83"/>
      <c r="R17" s="62"/>
    </row>
    <row r="18" spans="2:18">
      <c r="B18" s="77">
        <f>G10</f>
        <v>45897</v>
      </c>
      <c r="C18" s="78">
        <f>+$G$11</f>
        <v>8.7499999999999994E-2</v>
      </c>
      <c r="D18" s="77">
        <f>B18</f>
        <v>45897</v>
      </c>
      <c r="E18" s="79"/>
      <c r="F18" s="101">
        <f>D18</f>
        <v>45897</v>
      </c>
      <c r="G18" s="105">
        <f>+G12</f>
        <v>100</v>
      </c>
      <c r="H18" s="115"/>
      <c r="I18" s="107"/>
      <c r="J18" s="107"/>
      <c r="K18" s="105">
        <f>+G18-J18</f>
        <v>100</v>
      </c>
      <c r="L18" s="80">
        <f>-G14</f>
        <v>-102.85</v>
      </c>
      <c r="M18" s="81"/>
      <c r="N18" s="82"/>
      <c r="O18" s="82"/>
      <c r="P18" s="83"/>
      <c r="Q18" s="83"/>
      <c r="R18" s="62"/>
    </row>
    <row r="19" spans="2:18">
      <c r="B19" s="77">
        <v>46044</v>
      </c>
      <c r="C19" s="78">
        <f>+$G$11</f>
        <v>8.7499999999999994E-2</v>
      </c>
      <c r="D19" s="77">
        <f t="shared" ref="D19:D28" si="0">B19</f>
        <v>46044</v>
      </c>
      <c r="E19" s="79"/>
      <c r="F19" s="101">
        <f t="shared" ref="F19:F28" si="1">D19</f>
        <v>46044</v>
      </c>
      <c r="G19" s="105">
        <f>+K18</f>
        <v>100</v>
      </c>
      <c r="H19" s="106">
        <f>+B19-G9</f>
        <v>184</v>
      </c>
      <c r="I19" s="107">
        <f>+G19*($G$11)*((H19)/365)</f>
        <v>4.4109589041095898</v>
      </c>
      <c r="J19" s="107"/>
      <c r="K19" s="105">
        <f>+G19-J19</f>
        <v>100</v>
      </c>
      <c r="L19" s="80">
        <f>+I19+J19</f>
        <v>4.4109589041095898</v>
      </c>
      <c r="M19" s="81"/>
      <c r="N19" s="95">
        <f>+L19/(1+$L$9)^((O19)/365)</f>
        <v>4.2696505419449062</v>
      </c>
      <c r="O19" s="84">
        <f>F19-$F$18</f>
        <v>147</v>
      </c>
      <c r="P19" s="83"/>
      <c r="Q19" s="85">
        <f>+(N19/$N$30)*O19</f>
        <v>6.1024659711195781</v>
      </c>
      <c r="R19" s="62"/>
    </row>
    <row r="20" spans="2:18">
      <c r="B20" s="77">
        <f>EDATE(B19,6)</f>
        <v>46225</v>
      </c>
      <c r="C20" s="78">
        <f t="shared" ref="C20:C28" si="2">+$G$11</f>
        <v>8.7499999999999994E-2</v>
      </c>
      <c r="D20" s="77">
        <f t="shared" si="0"/>
        <v>46225</v>
      </c>
      <c r="E20" s="79"/>
      <c r="F20" s="101">
        <f t="shared" si="1"/>
        <v>46225</v>
      </c>
      <c r="G20" s="105">
        <f>+K19</f>
        <v>100</v>
      </c>
      <c r="H20" s="106">
        <f t="shared" ref="H20:H28" si="3">+B20-B19</f>
        <v>181</v>
      </c>
      <c r="I20" s="107">
        <f t="shared" ref="I20:I28" si="4">+G20*($G$11)*((H20)/365)</f>
        <v>4.3390410958904111</v>
      </c>
      <c r="J20" s="107"/>
      <c r="K20" s="105">
        <f t="shared" ref="K20:K28" si="5">+G20-J20</f>
        <v>100</v>
      </c>
      <c r="L20" s="80">
        <f t="shared" ref="L20:L28" si="6">+I20+J20</f>
        <v>4.3390410958904111</v>
      </c>
      <c r="M20" s="81"/>
      <c r="N20" s="95">
        <f t="shared" ref="N20:N27" si="7">+L20/(1+$L$9)^((O20)/365)</f>
        <v>4.0349835470804667</v>
      </c>
      <c r="O20" s="84">
        <f t="shared" ref="O20:O28" si="8">F20-$F$18</f>
        <v>328</v>
      </c>
      <c r="P20" s="83"/>
      <c r="Q20" s="85">
        <f t="shared" ref="Q20:Q25" si="9">+(N20/$N$30)*O20</f>
        <v>12.868007718784563</v>
      </c>
      <c r="R20" s="62"/>
    </row>
    <row r="21" spans="2:18">
      <c r="B21" s="77">
        <f t="shared" ref="B21:B28" si="10">EDATE(B20,6)</f>
        <v>46409</v>
      </c>
      <c r="C21" s="78">
        <f t="shared" si="2"/>
        <v>8.7499999999999994E-2</v>
      </c>
      <c r="D21" s="77">
        <f t="shared" si="0"/>
        <v>46409</v>
      </c>
      <c r="E21" s="79"/>
      <c r="F21" s="101">
        <f>D21</f>
        <v>46409</v>
      </c>
      <c r="G21" s="105">
        <f t="shared" ref="G21:G28" si="11">+K20</f>
        <v>100</v>
      </c>
      <c r="H21" s="106">
        <f t="shared" si="3"/>
        <v>184</v>
      </c>
      <c r="I21" s="107">
        <f t="shared" si="4"/>
        <v>4.4109589041095898</v>
      </c>
      <c r="J21" s="107"/>
      <c r="K21" s="105">
        <f t="shared" si="5"/>
        <v>100</v>
      </c>
      <c r="L21" s="80">
        <f t="shared" si="6"/>
        <v>4.4109589041095898</v>
      </c>
      <c r="M21" s="81"/>
      <c r="N21" s="95">
        <f t="shared" si="7"/>
        <v>3.9380490084600477</v>
      </c>
      <c r="O21" s="84">
        <f t="shared" si="8"/>
        <v>512</v>
      </c>
      <c r="P21" s="83"/>
      <c r="Q21" s="85">
        <f t="shared" si="9"/>
        <v>19.604094095856983</v>
      </c>
      <c r="R21" s="62"/>
    </row>
    <row r="22" spans="2:18">
      <c r="B22" s="77">
        <f t="shared" si="10"/>
        <v>46590</v>
      </c>
      <c r="C22" s="78">
        <f t="shared" si="2"/>
        <v>8.7499999999999994E-2</v>
      </c>
      <c r="D22" s="77">
        <f t="shared" si="0"/>
        <v>46590</v>
      </c>
      <c r="E22" s="79"/>
      <c r="F22" s="101">
        <f t="shared" si="1"/>
        <v>46590</v>
      </c>
      <c r="G22" s="105">
        <f t="shared" si="11"/>
        <v>100</v>
      </c>
      <c r="H22" s="106">
        <f t="shared" si="3"/>
        <v>181</v>
      </c>
      <c r="I22" s="107">
        <f t="shared" si="4"/>
        <v>4.3390410958904111</v>
      </c>
      <c r="J22" s="105"/>
      <c r="K22" s="105">
        <f t="shared" si="5"/>
        <v>100</v>
      </c>
      <c r="L22" s="80">
        <f t="shared" si="6"/>
        <v>4.3390410958904111</v>
      </c>
      <c r="M22" s="81"/>
      <c r="N22" s="95">
        <f t="shared" si="7"/>
        <v>3.7216073776133123</v>
      </c>
      <c r="O22" s="84">
        <f t="shared" si="8"/>
        <v>693</v>
      </c>
      <c r="P22" s="83"/>
      <c r="Q22" s="85">
        <f t="shared" si="9"/>
        <v>25.076070919259035</v>
      </c>
      <c r="R22" s="62"/>
    </row>
    <row r="23" spans="2:18">
      <c r="B23" s="77">
        <f t="shared" si="10"/>
        <v>46774</v>
      </c>
      <c r="C23" s="78">
        <f t="shared" si="2"/>
        <v>8.7499999999999994E-2</v>
      </c>
      <c r="D23" s="77">
        <f>B23+2</f>
        <v>46776</v>
      </c>
      <c r="E23" s="79"/>
      <c r="F23" s="101">
        <f t="shared" si="1"/>
        <v>46776</v>
      </c>
      <c r="G23" s="105">
        <f t="shared" si="11"/>
        <v>100</v>
      </c>
      <c r="H23" s="106">
        <f t="shared" si="3"/>
        <v>184</v>
      </c>
      <c r="I23" s="107">
        <f t="shared" si="4"/>
        <v>4.4109589041095898</v>
      </c>
      <c r="J23" s="107"/>
      <c r="K23" s="105">
        <f t="shared" si="5"/>
        <v>100</v>
      </c>
      <c r="L23" s="80">
        <f t="shared" si="6"/>
        <v>4.4109589041095898</v>
      </c>
      <c r="M23" s="81"/>
      <c r="N23" s="95">
        <f t="shared" si="7"/>
        <v>3.6305925499871008</v>
      </c>
      <c r="O23" s="84">
        <f t="shared" si="8"/>
        <v>879</v>
      </c>
      <c r="P23" s="83"/>
      <c r="Q23" s="85">
        <f t="shared" si="9"/>
        <v>31.028593372616772</v>
      </c>
      <c r="R23" s="62"/>
    </row>
    <row r="24" spans="2:18">
      <c r="B24" s="77">
        <f t="shared" si="10"/>
        <v>46956</v>
      </c>
      <c r="C24" s="78">
        <f t="shared" si="2"/>
        <v>8.7499999999999994E-2</v>
      </c>
      <c r="D24" s="77">
        <f>B24+2</f>
        <v>46958</v>
      </c>
      <c r="E24" s="79"/>
      <c r="F24" s="101">
        <f t="shared" si="1"/>
        <v>46958</v>
      </c>
      <c r="G24" s="105">
        <f t="shared" si="11"/>
        <v>100</v>
      </c>
      <c r="H24" s="106">
        <f t="shared" si="3"/>
        <v>182</v>
      </c>
      <c r="I24" s="107">
        <f t="shared" si="4"/>
        <v>4.3630136986301373</v>
      </c>
      <c r="J24" s="107"/>
      <c r="K24" s="105">
        <f t="shared" si="5"/>
        <v>100</v>
      </c>
      <c r="L24" s="80">
        <f t="shared" si="6"/>
        <v>4.3630136986301373</v>
      </c>
      <c r="M24" s="81"/>
      <c r="N24" s="95">
        <f t="shared" si="7"/>
        <v>3.4492412206884948</v>
      </c>
      <c r="O24" s="84">
        <f t="shared" si="8"/>
        <v>1061</v>
      </c>
      <c r="P24" s="83"/>
      <c r="Q24" s="85">
        <f t="shared" si="9"/>
        <v>35.582352053480228</v>
      </c>
      <c r="R24" s="62"/>
    </row>
    <row r="25" spans="2:18">
      <c r="B25" s="77">
        <f t="shared" si="10"/>
        <v>47140</v>
      </c>
      <c r="C25" s="78">
        <f t="shared" si="2"/>
        <v>8.7499999999999994E-2</v>
      </c>
      <c r="D25" s="77">
        <f t="shared" si="0"/>
        <v>47140</v>
      </c>
      <c r="E25" s="79"/>
      <c r="F25" s="101">
        <f t="shared" si="1"/>
        <v>47140</v>
      </c>
      <c r="G25" s="105">
        <f t="shared" si="11"/>
        <v>100</v>
      </c>
      <c r="H25" s="106">
        <f t="shared" si="3"/>
        <v>184</v>
      </c>
      <c r="I25" s="107">
        <f t="shared" si="4"/>
        <v>4.4109589041095898</v>
      </c>
      <c r="J25" s="107"/>
      <c r="K25" s="105">
        <f t="shared" si="5"/>
        <v>100</v>
      </c>
      <c r="L25" s="80">
        <f t="shared" si="6"/>
        <v>4.4109589041095898</v>
      </c>
      <c r="M25" s="81"/>
      <c r="N25" s="95">
        <f t="shared" si="7"/>
        <v>3.3493651179322832</v>
      </c>
      <c r="O25" s="84">
        <f t="shared" si="8"/>
        <v>1243</v>
      </c>
      <c r="P25" s="83"/>
      <c r="Q25" s="85">
        <f t="shared" si="9"/>
        <v>40.478957817208531</v>
      </c>
      <c r="R25" s="62"/>
    </row>
    <row r="26" spans="2:18">
      <c r="B26" s="77">
        <f t="shared" si="10"/>
        <v>47321</v>
      </c>
      <c r="C26" s="78">
        <f t="shared" si="2"/>
        <v>8.7499999999999994E-2</v>
      </c>
      <c r="D26" s="77">
        <f>B26+1</f>
        <v>47322</v>
      </c>
      <c r="E26" s="79"/>
      <c r="F26" s="101">
        <f t="shared" si="1"/>
        <v>47322</v>
      </c>
      <c r="G26" s="105">
        <f t="shared" si="11"/>
        <v>100</v>
      </c>
      <c r="H26" s="106">
        <f t="shared" si="3"/>
        <v>181</v>
      </c>
      <c r="I26" s="107">
        <f t="shared" si="4"/>
        <v>4.3390410958904111</v>
      </c>
      <c r="J26" s="107"/>
      <c r="K26" s="105">
        <f t="shared" si="5"/>
        <v>100</v>
      </c>
      <c r="L26" s="80">
        <f t="shared" si="6"/>
        <v>4.3390410958904111</v>
      </c>
      <c r="M26" s="81"/>
      <c r="N26" s="95">
        <f t="shared" si="7"/>
        <v>3.1645774956057915</v>
      </c>
      <c r="O26" s="84">
        <f t="shared" si="8"/>
        <v>1425</v>
      </c>
      <c r="P26" s="83"/>
      <c r="Q26" s="85">
        <f>+(N26/$N$30)*O26</f>
        <v>43.845628572150858</v>
      </c>
      <c r="R26" s="62"/>
    </row>
    <row r="27" spans="2:18">
      <c r="B27" s="77">
        <f t="shared" si="10"/>
        <v>47505</v>
      </c>
      <c r="C27" s="78">
        <f t="shared" si="2"/>
        <v>8.7499999999999994E-2</v>
      </c>
      <c r="D27" s="77">
        <f t="shared" si="0"/>
        <v>47505</v>
      </c>
      <c r="E27" s="79"/>
      <c r="F27" s="101">
        <f t="shared" si="1"/>
        <v>47505</v>
      </c>
      <c r="G27" s="105">
        <f t="shared" si="11"/>
        <v>100</v>
      </c>
      <c r="H27" s="106">
        <f t="shared" si="3"/>
        <v>184</v>
      </c>
      <c r="I27" s="107">
        <f t="shared" si="4"/>
        <v>4.4109589041095898</v>
      </c>
      <c r="J27" s="105"/>
      <c r="K27" s="105">
        <f t="shared" si="5"/>
        <v>100</v>
      </c>
      <c r="L27" s="80">
        <f t="shared" si="6"/>
        <v>4.4109589041095898</v>
      </c>
      <c r="M27" s="81"/>
      <c r="N27" s="95">
        <f t="shared" si="7"/>
        <v>3.089237363120501</v>
      </c>
      <c r="O27" s="84">
        <f t="shared" si="8"/>
        <v>1608</v>
      </c>
      <c r="P27" s="83"/>
      <c r="Q27" s="85">
        <f>+(N27/$N$30)*O27</f>
        <v>48.298431152117153</v>
      </c>
      <c r="R27" s="62"/>
    </row>
    <row r="28" spans="2:18" ht="15.75" thickBot="1">
      <c r="B28" s="77">
        <f t="shared" si="10"/>
        <v>47686</v>
      </c>
      <c r="C28" s="78">
        <f t="shared" si="2"/>
        <v>8.7499999999999994E-2</v>
      </c>
      <c r="D28" s="77">
        <f t="shared" si="0"/>
        <v>47686</v>
      </c>
      <c r="E28" s="79"/>
      <c r="F28" s="108">
        <f t="shared" si="1"/>
        <v>47686</v>
      </c>
      <c r="G28" s="109">
        <f t="shared" si="11"/>
        <v>100</v>
      </c>
      <c r="H28" s="110">
        <f t="shared" si="3"/>
        <v>181</v>
      </c>
      <c r="I28" s="111">
        <f t="shared" si="4"/>
        <v>4.3390410958904111</v>
      </c>
      <c r="J28" s="109">
        <f>G12</f>
        <v>100</v>
      </c>
      <c r="K28" s="109">
        <f t="shared" si="5"/>
        <v>0</v>
      </c>
      <c r="L28" s="112">
        <f t="shared" si="6"/>
        <v>104.33904109589041</v>
      </c>
      <c r="M28" s="81"/>
      <c r="N28" s="95">
        <f>+L28/(1+$L$9)^((O28)/365)</f>
        <v>70.202696520914557</v>
      </c>
      <c r="O28" s="84">
        <f t="shared" si="8"/>
        <v>1789</v>
      </c>
      <c r="P28" s="83"/>
      <c r="Q28" s="85">
        <f>+(N28/$N$30)*O28</f>
        <v>1221.1241922041477</v>
      </c>
      <c r="R28" s="62"/>
    </row>
    <row r="29" spans="2:18" ht="15.75" hidden="1" thickBot="1">
      <c r="B29" s="77"/>
      <c r="C29" s="86"/>
      <c r="D29" s="100"/>
      <c r="E29" s="79"/>
      <c r="F29" s="108"/>
      <c r="G29" s="109"/>
      <c r="H29" s="110"/>
      <c r="I29" s="111"/>
      <c r="J29" s="109"/>
      <c r="K29" s="109"/>
      <c r="L29" s="112"/>
      <c r="M29" s="81"/>
      <c r="N29" s="95"/>
      <c r="O29" s="84"/>
      <c r="P29" s="83"/>
      <c r="Q29" s="85"/>
      <c r="R29" s="62"/>
    </row>
    <row r="30" spans="2:18" ht="15.75" thickBot="1">
      <c r="B30" s="87"/>
      <c r="C30" s="86"/>
      <c r="D30" s="87"/>
      <c r="E30" s="59"/>
      <c r="F30" s="122" t="s">
        <v>17</v>
      </c>
      <c r="G30" s="123"/>
      <c r="H30" s="123"/>
      <c r="I30" s="88">
        <f>SUM(I19:I28)</f>
        <v>43.773972602739725</v>
      </c>
      <c r="J30" s="89">
        <f>SUM(J19:J28)</f>
        <v>100</v>
      </c>
      <c r="K30" s="88"/>
      <c r="L30" s="90">
        <f>SUM(L18:L28)</f>
        <v>40.923972602739738</v>
      </c>
      <c r="M30" s="91"/>
      <c r="N30" s="92">
        <f>SUM(N19:N28)</f>
        <v>102.85000074334747</v>
      </c>
      <c r="O30" s="83"/>
      <c r="P30" s="83"/>
      <c r="Q30" s="83"/>
      <c r="R30" s="62"/>
    </row>
    <row r="31" spans="2:18">
      <c r="E31" s="59"/>
      <c r="F31" s="60"/>
      <c r="G31" s="59"/>
      <c r="H31" s="59"/>
      <c r="I31" s="59"/>
      <c r="J31" s="59"/>
      <c r="K31" s="59"/>
      <c r="L31" s="59"/>
      <c r="M31" s="61"/>
      <c r="N31" s="62"/>
      <c r="O31" s="62"/>
      <c r="P31" s="62"/>
      <c r="Q31" s="62"/>
      <c r="R31" s="62"/>
    </row>
    <row r="32" spans="2:18">
      <c r="E32" s="59"/>
      <c r="F32" s="59"/>
      <c r="G32" s="59"/>
      <c r="H32" s="59"/>
      <c r="I32" s="59"/>
      <c r="J32" s="59"/>
      <c r="K32" s="59"/>
      <c r="L32" s="59"/>
      <c r="M32" s="61"/>
      <c r="N32" s="62"/>
      <c r="O32" s="62"/>
      <c r="P32" s="62"/>
      <c r="Q32" s="62"/>
      <c r="R32" s="62"/>
    </row>
    <row r="33" spans="5:18">
      <c r="E33" s="59"/>
      <c r="F33" s="60"/>
      <c r="G33" s="59"/>
      <c r="H33" s="59"/>
      <c r="I33" s="59"/>
      <c r="J33" s="59"/>
      <c r="K33" s="59"/>
      <c r="L33" s="59"/>
      <c r="M33" s="61"/>
      <c r="N33" s="62"/>
      <c r="O33" s="62"/>
      <c r="P33" s="62"/>
      <c r="Q33" s="62"/>
      <c r="R33" s="62"/>
    </row>
    <row r="34" spans="5:18">
      <c r="E34" s="59"/>
      <c r="F34" s="60"/>
      <c r="G34" s="59"/>
      <c r="H34" s="59"/>
      <c r="I34" s="59"/>
      <c r="J34" s="59"/>
      <c r="K34" s="59"/>
      <c r="L34" s="59"/>
      <c r="M34" s="61"/>
      <c r="N34" s="62"/>
      <c r="O34" s="62"/>
      <c r="P34" s="62"/>
      <c r="Q34" s="62"/>
      <c r="R34" s="62"/>
    </row>
    <row r="35" spans="5:18">
      <c r="E35" s="59"/>
      <c r="F35" s="60"/>
      <c r="G35" s="59"/>
      <c r="H35" s="59"/>
      <c r="I35" s="59"/>
      <c r="J35" s="59"/>
      <c r="K35" s="59"/>
      <c r="L35" s="59"/>
      <c r="M35" s="61"/>
      <c r="N35" s="62"/>
      <c r="O35" s="62"/>
      <c r="P35" s="62"/>
      <c r="Q35" s="62"/>
      <c r="R35" s="62"/>
    </row>
    <row r="36" spans="5:18">
      <c r="E36" s="59"/>
      <c r="F36" s="60"/>
      <c r="G36" s="59"/>
      <c r="H36" s="59"/>
      <c r="I36" s="59"/>
      <c r="J36" s="59"/>
      <c r="K36" s="59"/>
      <c r="L36" s="59"/>
      <c r="M36" s="61"/>
      <c r="N36" s="62"/>
      <c r="O36" s="62"/>
      <c r="P36" s="62"/>
      <c r="Q36" s="62"/>
      <c r="R36" s="62"/>
    </row>
    <row r="37" spans="5:18">
      <c r="E37" s="59"/>
      <c r="F37" s="60"/>
      <c r="G37" s="59"/>
      <c r="H37" s="59"/>
      <c r="I37" s="59"/>
      <c r="J37" s="59"/>
      <c r="K37" s="59"/>
      <c r="L37" s="59"/>
      <c r="M37" s="61"/>
      <c r="N37" s="62"/>
      <c r="O37" s="62"/>
      <c r="P37" s="62"/>
      <c r="Q37" s="62"/>
      <c r="R37" s="62"/>
    </row>
    <row r="38" spans="5:18">
      <c r="E38" s="59"/>
      <c r="F38" s="60"/>
      <c r="G38" s="59"/>
      <c r="H38" s="59"/>
      <c r="I38" s="59"/>
      <c r="J38" s="59"/>
      <c r="K38" s="59"/>
      <c r="L38" s="59"/>
      <c r="M38" s="61"/>
      <c r="N38" s="62"/>
      <c r="O38" s="62"/>
      <c r="P38" s="62"/>
      <c r="Q38" s="62"/>
      <c r="R38" s="62"/>
    </row>
    <row r="39" spans="5:18">
      <c r="E39" s="59"/>
      <c r="F39" s="60"/>
      <c r="G39" s="59"/>
      <c r="H39" s="59"/>
      <c r="I39" s="59"/>
      <c r="J39" s="59"/>
      <c r="K39" s="59"/>
      <c r="L39" s="59"/>
      <c r="M39" s="61"/>
      <c r="N39" s="62"/>
      <c r="O39" s="62"/>
      <c r="P39" s="62"/>
      <c r="Q39" s="62"/>
      <c r="R39" s="62"/>
    </row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</sheetData>
  <sheetProtection algorithmName="SHA-512" hashValue="z6hfnmejH5w/JnPa7drPEbNDjtxoxNsFTC9gF/cUnKU0M9PD/DT0r3za5zhSC0ap7gIax9aEZJvnu3UKOzGN3A==" saltValue="dwwCpK950k+4w14p8JgaYA==" spinCount="100000" sheet="1" selectLockedCells="1"/>
  <mergeCells count="5">
    <mergeCell ref="J9:K9"/>
    <mergeCell ref="J10:K10"/>
    <mergeCell ref="J11:K11"/>
    <mergeCell ref="F30:H30"/>
    <mergeCell ref="J12:K12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5D177-8F1A-4E1E-A344-B8498CD4B6AA}">
  <sheetPr>
    <pageSetUpPr fitToPage="1"/>
  </sheetPr>
  <dimension ref="A1:Q66"/>
  <sheetViews>
    <sheetView showGridLines="0" topLeftCell="E1" zoomScale="80" zoomScaleNormal="80" workbookViewId="0">
      <selection activeCell="G10" sqref="G10"/>
    </sheetView>
  </sheetViews>
  <sheetFormatPr baseColWidth="10" defaultColWidth="0" defaultRowHeight="15" customHeight="1" zeroHeight="1"/>
  <cols>
    <col min="1" max="1" width="9.140625" style="5" hidden="1" customWidth="1"/>
    <col min="2" max="2" width="42.85546875" style="5" hidden="1" customWidth="1"/>
    <col min="3" max="3" width="27" style="5" hidden="1" customWidth="1"/>
    <col min="4" max="4" width="36.140625" style="5" hidden="1" customWidth="1"/>
    <col min="5" max="5" width="16" style="43" customWidth="1"/>
    <col min="6" max="6" width="34.7109375" style="44" customWidth="1"/>
    <col min="7" max="7" width="16.7109375" style="43" bestFit="1" customWidth="1"/>
    <col min="8" max="8" width="13.42578125" style="43" bestFit="1" customWidth="1"/>
    <col min="9" max="9" width="14.85546875" style="43" bestFit="1" customWidth="1"/>
    <col min="10" max="10" width="21.42578125" style="43" bestFit="1" customWidth="1"/>
    <col min="11" max="11" width="20.85546875" style="43" bestFit="1" customWidth="1"/>
    <col min="12" max="12" width="18.140625" style="43" customWidth="1"/>
    <col min="13" max="13" width="19.85546875" style="45" customWidth="1"/>
    <col min="14" max="17" width="11.42578125" style="5" hidden="1" customWidth="1"/>
    <col min="18" max="16379" width="9.140625" style="5" customWidth="1"/>
    <col min="16380" max="16380" width="11" style="5" customWidth="1"/>
    <col min="16381" max="16381" width="28.85546875" style="5" customWidth="1"/>
    <col min="16382" max="16382" width="18.42578125" style="5" customWidth="1"/>
    <col min="16383" max="16383" width="21.140625" style="5" customWidth="1"/>
    <col min="16384" max="16384" width="20.5703125" style="5" customWidth="1"/>
  </cols>
  <sheetData>
    <row r="1" spans="1:17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7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7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7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7">
      <c r="A5" s="1"/>
      <c r="B5" s="1"/>
      <c r="C5" s="1"/>
      <c r="D5" s="1"/>
      <c r="E5" s="2"/>
      <c r="F5" s="6" t="s">
        <v>29</v>
      </c>
      <c r="G5" s="6"/>
      <c r="H5" s="6"/>
      <c r="I5" s="6"/>
      <c r="J5" s="2"/>
      <c r="K5" s="2"/>
      <c r="L5" s="2"/>
      <c r="M5" s="4"/>
    </row>
    <row r="6" spans="1:17">
      <c r="A6" s="1"/>
      <c r="B6" s="1"/>
      <c r="C6" s="1"/>
      <c r="D6" s="1"/>
      <c r="E6" s="2"/>
      <c r="F6" s="6" t="s">
        <v>30</v>
      </c>
      <c r="G6" s="2"/>
      <c r="H6" s="2"/>
      <c r="I6" s="2"/>
      <c r="J6" s="2"/>
      <c r="K6" s="2"/>
      <c r="L6" s="2"/>
      <c r="M6" s="4"/>
    </row>
    <row r="7" spans="1:17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7">
      <c r="A8" s="1"/>
      <c r="B8" s="1"/>
      <c r="C8" s="1"/>
      <c r="D8" s="1"/>
      <c r="E8" s="2"/>
      <c r="F8" s="7" t="s">
        <v>0</v>
      </c>
      <c r="G8" s="8">
        <v>100</v>
      </c>
      <c r="H8" s="2"/>
      <c r="I8" s="2"/>
      <c r="J8" s="126" t="s">
        <v>1</v>
      </c>
      <c r="K8" s="126"/>
      <c r="L8" s="9">
        <f>+XIRR(L14:L26,F14:F26)</f>
        <v>7.7121481299400357E-2</v>
      </c>
      <c r="M8" s="10"/>
    </row>
    <row r="9" spans="1:17">
      <c r="A9" s="1"/>
      <c r="B9" s="1"/>
      <c r="C9" s="1"/>
      <c r="D9" s="1"/>
      <c r="E9" s="2"/>
      <c r="F9" s="7" t="s">
        <v>2</v>
      </c>
      <c r="G9" s="11">
        <v>45897</v>
      </c>
      <c r="H9" s="2"/>
      <c r="I9" s="2"/>
      <c r="J9" s="126" t="s">
        <v>21</v>
      </c>
      <c r="K9" s="126"/>
      <c r="L9" s="9">
        <f>+NOMINAL(L8,4)</f>
        <v>7.4986395154757801E-2</v>
      </c>
      <c r="M9" s="12"/>
    </row>
    <row r="10" spans="1:17">
      <c r="A10" s="1"/>
      <c r="B10" s="1"/>
      <c r="C10" s="1"/>
      <c r="D10" s="1"/>
      <c r="E10" s="2"/>
      <c r="F10" s="50" t="s">
        <v>3</v>
      </c>
      <c r="G10" s="49">
        <v>7.4999999999999997E-2</v>
      </c>
      <c r="H10" s="2"/>
      <c r="I10" s="2"/>
      <c r="J10" s="126" t="s">
        <v>4</v>
      </c>
      <c r="K10" s="126"/>
      <c r="L10" s="13">
        <f>+SUM(Q15:Q26)/(365/12)</f>
        <v>32.603414837235185</v>
      </c>
      <c r="M10" s="12"/>
    </row>
    <row r="11" spans="1:17">
      <c r="A11" s="1"/>
      <c r="B11" s="1"/>
      <c r="C11" s="1"/>
      <c r="D11" s="1"/>
      <c r="E11" s="2"/>
      <c r="F11" s="51" t="s">
        <v>5</v>
      </c>
      <c r="G11" s="14">
        <f>G8/N27</f>
        <v>0.99999999838886755</v>
      </c>
      <c r="I11" s="6"/>
      <c r="J11" s="126" t="s">
        <v>19</v>
      </c>
      <c r="K11" s="126"/>
      <c r="L11" s="13">
        <f>+SUM(Q15:Q26)/(365)</f>
        <v>2.716951236436266</v>
      </c>
      <c r="M11" s="15"/>
      <c r="N11" s="16"/>
    </row>
    <row r="12" spans="1:17" ht="15.75" thickBot="1">
      <c r="A12" s="1"/>
      <c r="B12" s="1"/>
      <c r="C12" s="1"/>
      <c r="D12" s="1"/>
      <c r="E12" s="2"/>
      <c r="F12" s="3"/>
      <c r="G12" s="2"/>
      <c r="H12" s="2"/>
      <c r="I12" s="2"/>
      <c r="J12" s="2"/>
      <c r="K12" s="2"/>
      <c r="L12" s="2"/>
      <c r="M12" s="17"/>
      <c r="N12" s="16"/>
    </row>
    <row r="13" spans="1:17" s="25" customFormat="1" ht="28.5" customHeight="1" thickBot="1">
      <c r="A13" s="18"/>
      <c r="B13" s="19"/>
      <c r="C13" s="19" t="s">
        <v>6</v>
      </c>
      <c r="D13" s="19"/>
      <c r="E13" s="20"/>
      <c r="F13" s="21" t="s">
        <v>7</v>
      </c>
      <c r="G13" s="21" t="s">
        <v>8</v>
      </c>
      <c r="H13" s="21" t="s">
        <v>9</v>
      </c>
      <c r="I13" s="21" t="s">
        <v>10</v>
      </c>
      <c r="J13" s="21" t="s">
        <v>11</v>
      </c>
      <c r="K13" s="21" t="s">
        <v>12</v>
      </c>
      <c r="L13" s="22" t="s">
        <v>13</v>
      </c>
      <c r="M13" s="23"/>
      <c r="N13" s="24" t="s">
        <v>14</v>
      </c>
      <c r="O13" s="24" t="s">
        <v>15</v>
      </c>
      <c r="Q13" s="24" t="s">
        <v>16</v>
      </c>
    </row>
    <row r="14" spans="1:17">
      <c r="A14" s="1"/>
      <c r="B14" s="26">
        <f>+D14</f>
        <v>45897</v>
      </c>
      <c r="C14" s="27">
        <f>+$G$10</f>
        <v>7.4999999999999997E-2</v>
      </c>
      <c r="D14" s="26">
        <f>+G9</f>
        <v>45897</v>
      </c>
      <c r="E14" s="28"/>
      <c r="F14" s="29">
        <f>+G9</f>
        <v>45897</v>
      </c>
      <c r="G14" s="52">
        <f>+G8</f>
        <v>100</v>
      </c>
      <c r="H14" s="31"/>
      <c r="I14" s="30"/>
      <c r="J14" s="52"/>
      <c r="K14" s="52">
        <f t="shared" ref="K14" si="0">+G14-J14</f>
        <v>100</v>
      </c>
      <c r="L14" s="32">
        <f>-G14</f>
        <v>-100</v>
      </c>
      <c r="M14" s="33"/>
      <c r="N14" s="34"/>
      <c r="O14" s="34"/>
    </row>
    <row r="15" spans="1:17">
      <c r="A15" s="1"/>
      <c r="B15" s="26">
        <f>EDATE(B14, 3)</f>
        <v>45989</v>
      </c>
      <c r="C15" s="27">
        <f t="shared" ref="C15:C26" si="1">+$G$10</f>
        <v>7.4999999999999997E-2</v>
      </c>
      <c r="D15" s="26">
        <f t="shared" ref="D15:D18" si="2">B15</f>
        <v>45989</v>
      </c>
      <c r="E15" s="28"/>
      <c r="F15" s="35">
        <f t="shared" ref="F15" si="3">+D15</f>
        <v>45989</v>
      </c>
      <c r="G15" s="52">
        <f>+K14</f>
        <v>100</v>
      </c>
      <c r="H15" s="36">
        <f t="shared" ref="H15:H26" si="4">+B15-B14</f>
        <v>92</v>
      </c>
      <c r="I15" s="30">
        <f>+G15*($G$10)*(H15)/365</f>
        <v>1.8904109589041096</v>
      </c>
      <c r="J15" s="52"/>
      <c r="K15" s="52">
        <f t="shared" ref="K15" si="5">+G15-J15</f>
        <v>100</v>
      </c>
      <c r="L15" s="32">
        <f>+I15+J15</f>
        <v>1.8904109589041096</v>
      </c>
      <c r="M15" s="33"/>
      <c r="N15" s="37">
        <f>+L15/(1+$L$8)^((O15)/365)</f>
        <v>1.8553410653355966</v>
      </c>
      <c r="O15" s="38">
        <f>+F15-$F$14</f>
        <v>92</v>
      </c>
      <c r="Q15" s="39">
        <f>+(N15/$N$27)*O15</f>
        <v>1.7069137773586847</v>
      </c>
    </row>
    <row r="16" spans="1:17">
      <c r="A16" s="1"/>
      <c r="B16" s="26">
        <f t="shared" ref="B16:B26" si="6">EDATE(B15, 3)</f>
        <v>46081</v>
      </c>
      <c r="C16" s="27">
        <f t="shared" si="1"/>
        <v>7.4999999999999997E-2</v>
      </c>
      <c r="D16" s="26">
        <f>B16+2</f>
        <v>46083</v>
      </c>
      <c r="E16" s="28"/>
      <c r="F16" s="35">
        <f t="shared" ref="F16:F21" si="7">+D16</f>
        <v>46083</v>
      </c>
      <c r="G16" s="52">
        <f t="shared" ref="G16:G26" si="8">+K15</f>
        <v>100</v>
      </c>
      <c r="H16" s="36">
        <f t="shared" si="4"/>
        <v>92</v>
      </c>
      <c r="I16" s="30">
        <f>+G16*($G$10)*(H16)/365</f>
        <v>1.8904109589041096</v>
      </c>
      <c r="J16" s="52"/>
      <c r="K16" s="52">
        <f t="shared" ref="K16:K26" si="9">+G16-J16</f>
        <v>100</v>
      </c>
      <c r="L16" s="32">
        <f t="shared" ref="L16:L26" si="10">+I16+J16</f>
        <v>1.8904109589041096</v>
      </c>
      <c r="M16" s="33"/>
      <c r="N16" s="37">
        <f>+L16/(1+$L$8)^((O16)/365)</f>
        <v>1.820180658831422</v>
      </c>
      <c r="O16" s="38">
        <f>+F16-$F$14</f>
        <v>186</v>
      </c>
      <c r="Q16" s="39">
        <f t="shared" ref="Q16:Q26" si="11">+(N16/$N$27)*O16</f>
        <v>3.3855360199718976</v>
      </c>
    </row>
    <row r="17" spans="1:17">
      <c r="A17" s="1"/>
      <c r="B17" s="26">
        <f t="shared" si="6"/>
        <v>46170</v>
      </c>
      <c r="C17" s="27">
        <f t="shared" si="1"/>
        <v>7.4999999999999997E-2</v>
      </c>
      <c r="D17" s="26">
        <f t="shared" si="2"/>
        <v>46170</v>
      </c>
      <c r="E17" s="28"/>
      <c r="F17" s="35">
        <f t="shared" si="7"/>
        <v>46170</v>
      </c>
      <c r="G17" s="52">
        <f>+K16</f>
        <v>100</v>
      </c>
      <c r="H17" s="36">
        <f t="shared" si="4"/>
        <v>89</v>
      </c>
      <c r="I17" s="30">
        <f>+G17*($G$10)*(H17)/365</f>
        <v>1.8287671232876712</v>
      </c>
      <c r="J17" s="52"/>
      <c r="K17" s="52">
        <f>+G17-J17</f>
        <v>100</v>
      </c>
      <c r="L17" s="32">
        <f>+I17+J17</f>
        <v>1.8287671232876712</v>
      </c>
      <c r="M17" s="33"/>
      <c r="N17" s="37">
        <f t="shared" ref="N17" si="12">+L17/(1+$L$8)^((O17)/365)</f>
        <v>1.7299206683398018</v>
      </c>
      <c r="O17" s="38">
        <f>+F17-$F$14</f>
        <v>273</v>
      </c>
      <c r="Q17" s="39">
        <f t="shared" si="11"/>
        <v>4.7226834169587901</v>
      </c>
    </row>
    <row r="18" spans="1:17">
      <c r="A18" s="1"/>
      <c r="B18" s="26">
        <f t="shared" si="6"/>
        <v>46262</v>
      </c>
      <c r="C18" s="27">
        <f t="shared" si="1"/>
        <v>7.4999999999999997E-2</v>
      </c>
      <c r="D18" s="26">
        <f t="shared" si="2"/>
        <v>46262</v>
      </c>
      <c r="E18" s="28"/>
      <c r="F18" s="35">
        <f t="shared" si="7"/>
        <v>46262</v>
      </c>
      <c r="G18" s="52">
        <f>+K17</f>
        <v>100</v>
      </c>
      <c r="H18" s="36">
        <f t="shared" si="4"/>
        <v>92</v>
      </c>
      <c r="I18" s="30">
        <f>+G18*($G$10)*(H18)/365</f>
        <v>1.8904109589041096</v>
      </c>
      <c r="J18" s="52"/>
      <c r="K18" s="52">
        <f t="shared" si="9"/>
        <v>100</v>
      </c>
      <c r="L18" s="32">
        <f t="shared" si="10"/>
        <v>1.8904109589041096</v>
      </c>
      <c r="M18" s="33"/>
      <c r="N18" s="37">
        <f t="shared" ref="N18:N19" si="13">+L18/(1+$L$8)^((O18)/365)</f>
        <v>1.7550582656875306</v>
      </c>
      <c r="O18" s="38">
        <f t="shared" ref="O18:O21" si="14">+F18-$F$14</f>
        <v>365</v>
      </c>
      <c r="Q18" s="39">
        <f t="shared" si="11"/>
        <v>6.4059626594386314</v>
      </c>
    </row>
    <row r="19" spans="1:17">
      <c r="A19" s="1"/>
      <c r="B19" s="26">
        <f t="shared" si="6"/>
        <v>46354</v>
      </c>
      <c r="C19" s="27">
        <f t="shared" si="1"/>
        <v>7.4999999999999997E-2</v>
      </c>
      <c r="D19" s="26">
        <f>B19+2</f>
        <v>46356</v>
      </c>
      <c r="E19" s="28"/>
      <c r="F19" s="35">
        <f t="shared" si="7"/>
        <v>46356</v>
      </c>
      <c r="G19" s="52">
        <f>+K18</f>
        <v>100</v>
      </c>
      <c r="H19" s="36">
        <f t="shared" si="4"/>
        <v>92</v>
      </c>
      <c r="I19" s="30">
        <f t="shared" ref="I19:I25" si="15">+G19*($G$10)*(H19)/365</f>
        <v>1.8904109589041096</v>
      </c>
      <c r="J19" s="52"/>
      <c r="K19" s="52">
        <f t="shared" si="9"/>
        <v>100</v>
      </c>
      <c r="L19" s="32">
        <f t="shared" si="10"/>
        <v>1.8904109589041096</v>
      </c>
      <c r="M19" s="33"/>
      <c r="N19" s="37">
        <f t="shared" si="13"/>
        <v>1.7217983097618945</v>
      </c>
      <c r="O19" s="38">
        <f t="shared" si="14"/>
        <v>459</v>
      </c>
      <c r="Q19" s="39">
        <f>+(N19/$N$27)*O19</f>
        <v>7.9030542290742289</v>
      </c>
    </row>
    <row r="20" spans="1:17">
      <c r="A20" s="1"/>
      <c r="B20" s="26">
        <f t="shared" si="6"/>
        <v>46446</v>
      </c>
      <c r="C20" s="27">
        <f t="shared" si="1"/>
        <v>7.4999999999999997E-2</v>
      </c>
      <c r="D20" s="26">
        <f>B20+2</f>
        <v>46448</v>
      </c>
      <c r="E20" s="28"/>
      <c r="F20" s="35">
        <f t="shared" si="7"/>
        <v>46448</v>
      </c>
      <c r="G20" s="52">
        <f t="shared" si="8"/>
        <v>100</v>
      </c>
      <c r="H20" s="36">
        <f t="shared" si="4"/>
        <v>92</v>
      </c>
      <c r="I20" s="30">
        <f t="shared" si="15"/>
        <v>1.8904109589041096</v>
      </c>
      <c r="J20" s="52"/>
      <c r="K20" s="52">
        <f t="shared" si="9"/>
        <v>100</v>
      </c>
      <c r="L20" s="32">
        <f t="shared" si="10"/>
        <v>1.8904109589041096</v>
      </c>
      <c r="M20" s="33"/>
      <c r="N20" s="37">
        <f>+L20/(1+$L$8)^((O20)/365)</f>
        <v>1.689856427926423</v>
      </c>
      <c r="O20" s="38">
        <f t="shared" si="14"/>
        <v>551</v>
      </c>
      <c r="Q20" s="39">
        <f t="shared" si="11"/>
        <v>9.311108902873162</v>
      </c>
    </row>
    <row r="21" spans="1:17">
      <c r="A21" s="1"/>
      <c r="B21" s="26">
        <f t="shared" si="6"/>
        <v>46535</v>
      </c>
      <c r="C21" s="27">
        <f t="shared" si="1"/>
        <v>7.4999999999999997E-2</v>
      </c>
      <c r="D21" s="26">
        <f>B21</f>
        <v>46535</v>
      </c>
      <c r="E21" s="2"/>
      <c r="F21" s="35">
        <f t="shared" si="7"/>
        <v>46535</v>
      </c>
      <c r="G21" s="52">
        <f t="shared" si="8"/>
        <v>100</v>
      </c>
      <c r="H21" s="36">
        <f t="shared" si="4"/>
        <v>89</v>
      </c>
      <c r="I21" s="30">
        <f t="shared" si="15"/>
        <v>1.8287671232876712</v>
      </c>
      <c r="J21" s="52"/>
      <c r="K21" s="52">
        <f t="shared" si="9"/>
        <v>100</v>
      </c>
      <c r="L21" s="32">
        <f t="shared" si="10"/>
        <v>1.8287671232876712</v>
      </c>
      <c r="M21" s="4"/>
      <c r="N21" s="37">
        <f t="shared" ref="N21" si="16">+L21/(1+$L$8)^((O21)/365)</f>
        <v>1.606059017830457</v>
      </c>
      <c r="O21" s="38">
        <f t="shared" si="14"/>
        <v>638</v>
      </c>
      <c r="Q21" s="39">
        <f t="shared" si="11"/>
        <v>10.246656517249596</v>
      </c>
    </row>
    <row r="22" spans="1:17" ht="15" customHeight="1">
      <c r="B22" s="26">
        <f t="shared" si="6"/>
        <v>46627</v>
      </c>
      <c r="C22" s="27">
        <f t="shared" si="1"/>
        <v>7.4999999999999997E-2</v>
      </c>
      <c r="D22" s="26">
        <f>B22+2</f>
        <v>46629</v>
      </c>
      <c r="E22" s="43" t="s">
        <v>20</v>
      </c>
      <c r="F22" s="35">
        <f>+D22</f>
        <v>46629</v>
      </c>
      <c r="G22" s="52">
        <f t="shared" si="8"/>
        <v>100</v>
      </c>
      <c r="H22" s="36">
        <f t="shared" si="4"/>
        <v>92</v>
      </c>
      <c r="I22" s="30">
        <f t="shared" si="15"/>
        <v>1.8904109589041096</v>
      </c>
      <c r="J22" s="52"/>
      <c r="K22" s="52">
        <f t="shared" si="9"/>
        <v>100</v>
      </c>
      <c r="L22" s="32">
        <f t="shared" si="10"/>
        <v>1.8904109589041096</v>
      </c>
      <c r="N22" s="37">
        <f>+L22/(1+$L$8)^((O22)/365)</f>
        <v>1.6287336123010003</v>
      </c>
      <c r="O22" s="38">
        <f>+F22-$F$14</f>
        <v>732</v>
      </c>
      <c r="Q22" s="39">
        <f t="shared" si="11"/>
        <v>11.922330022834869</v>
      </c>
    </row>
    <row r="23" spans="1:17" ht="15" customHeight="1">
      <c r="B23" s="26">
        <f t="shared" si="6"/>
        <v>46719</v>
      </c>
      <c r="C23" s="27">
        <f t="shared" si="1"/>
        <v>7.4999999999999997E-2</v>
      </c>
      <c r="D23" s="26">
        <f>B23+1</f>
        <v>46720</v>
      </c>
      <c r="F23" s="35">
        <f t="shared" ref="F23:F26" si="17">+D23</f>
        <v>46720</v>
      </c>
      <c r="G23" s="52">
        <f t="shared" si="8"/>
        <v>100</v>
      </c>
      <c r="H23" s="36">
        <f t="shared" si="4"/>
        <v>92</v>
      </c>
      <c r="I23" s="30">
        <f t="shared" si="15"/>
        <v>1.8904109589041096</v>
      </c>
      <c r="J23" s="52"/>
      <c r="K23" s="52">
        <f t="shared" si="9"/>
        <v>100</v>
      </c>
      <c r="L23" s="32">
        <f t="shared" si="10"/>
        <v>1.8904109589041096</v>
      </c>
      <c r="N23" s="37">
        <f t="shared" ref="N23:N26" si="18">+L23/(1+$L$8)^((O23)/365)</f>
        <v>1.5988436128809609</v>
      </c>
      <c r="O23" s="38">
        <f t="shared" ref="O23:O25" si="19">+F23-$F$14</f>
        <v>823</v>
      </c>
      <c r="Q23" s="39">
        <f t="shared" si="11"/>
        <v>13.158482912810248</v>
      </c>
    </row>
    <row r="24" spans="1:17" ht="15" customHeight="1">
      <c r="B24" s="26">
        <f t="shared" si="6"/>
        <v>46811</v>
      </c>
      <c r="C24" s="27">
        <f t="shared" si="1"/>
        <v>7.4999999999999997E-2</v>
      </c>
      <c r="D24" s="26">
        <f t="shared" ref="D24:D26" si="20">B24</f>
        <v>46811</v>
      </c>
      <c r="F24" s="35">
        <f t="shared" si="17"/>
        <v>46811</v>
      </c>
      <c r="G24" s="52">
        <f t="shared" si="8"/>
        <v>100</v>
      </c>
      <c r="H24" s="36">
        <f t="shared" si="4"/>
        <v>92</v>
      </c>
      <c r="I24" s="30">
        <f t="shared" si="15"/>
        <v>1.8904109589041096</v>
      </c>
      <c r="J24" s="52"/>
      <c r="K24" s="52">
        <f t="shared" si="9"/>
        <v>100</v>
      </c>
      <c r="L24" s="32">
        <f t="shared" si="10"/>
        <v>1.8904109589041096</v>
      </c>
      <c r="N24" s="37">
        <f t="shared" si="18"/>
        <v>1.56950214519047</v>
      </c>
      <c r="O24" s="38">
        <f t="shared" si="19"/>
        <v>914</v>
      </c>
      <c r="Q24" s="39">
        <f>+(N24/$N$27)*O24</f>
        <v>14.345249583928799</v>
      </c>
    </row>
    <row r="25" spans="1:17" ht="15" customHeight="1">
      <c r="B25" s="26">
        <f t="shared" si="6"/>
        <v>46901</v>
      </c>
      <c r="C25" s="27">
        <f t="shared" si="1"/>
        <v>7.4999999999999997E-2</v>
      </c>
      <c r="D25" s="26">
        <f>B25+1</f>
        <v>46902</v>
      </c>
      <c r="F25" s="35">
        <f t="shared" si="17"/>
        <v>46902</v>
      </c>
      <c r="G25" s="52">
        <f t="shared" si="8"/>
        <v>100</v>
      </c>
      <c r="H25" s="36">
        <f t="shared" si="4"/>
        <v>90</v>
      </c>
      <c r="I25" s="30">
        <f t="shared" si="15"/>
        <v>1.8493150684931507</v>
      </c>
      <c r="J25" s="52"/>
      <c r="K25" s="52">
        <f t="shared" si="9"/>
        <v>100</v>
      </c>
      <c r="L25" s="32">
        <f t="shared" si="10"/>
        <v>1.8493150684931507</v>
      </c>
      <c r="N25" s="37">
        <f t="shared" si="18"/>
        <v>1.5072056831252929</v>
      </c>
      <c r="O25" s="38">
        <f t="shared" si="19"/>
        <v>1005</v>
      </c>
      <c r="Q25" s="39">
        <f t="shared" si="11"/>
        <v>15.147417091004698</v>
      </c>
    </row>
    <row r="26" spans="1:17" ht="15" customHeight="1" thickBot="1">
      <c r="B26" s="26">
        <f t="shared" si="6"/>
        <v>46993</v>
      </c>
      <c r="C26" s="27">
        <f t="shared" si="1"/>
        <v>7.4999999999999997E-2</v>
      </c>
      <c r="D26" s="26">
        <f t="shared" si="20"/>
        <v>46993</v>
      </c>
      <c r="F26" s="35">
        <f t="shared" si="17"/>
        <v>46993</v>
      </c>
      <c r="G26" s="52">
        <f t="shared" si="8"/>
        <v>100</v>
      </c>
      <c r="H26" s="36">
        <f t="shared" si="4"/>
        <v>92</v>
      </c>
      <c r="I26" s="30">
        <f>+G26*($G$10)*(H26)/365</f>
        <v>1.8904109589041096</v>
      </c>
      <c r="J26" s="52">
        <f>G8</f>
        <v>100</v>
      </c>
      <c r="K26" s="52">
        <f t="shared" si="9"/>
        <v>0</v>
      </c>
      <c r="L26" s="32">
        <f t="shared" si="10"/>
        <v>101.89041095890411</v>
      </c>
      <c r="N26" s="37">
        <f t="shared" si="18"/>
        <v>81.517500693902406</v>
      </c>
      <c r="O26" s="38">
        <f>+F26-$F$14</f>
        <v>1096</v>
      </c>
      <c r="Q26" s="39">
        <f t="shared" si="11"/>
        <v>893.43180616573341</v>
      </c>
    </row>
    <row r="27" spans="1:17" s="46" customFormat="1" ht="23.1" customHeight="1" thickBot="1">
      <c r="B27" s="26"/>
      <c r="E27" s="47"/>
      <c r="F27" s="122" t="s">
        <v>17</v>
      </c>
      <c r="G27" s="123"/>
      <c r="H27" s="124"/>
      <c r="I27" s="40">
        <f>SUM(I15:I26)</f>
        <v>22.520547945205479</v>
      </c>
      <c r="J27" s="53">
        <f>J26</f>
        <v>100</v>
      </c>
      <c r="K27" s="53"/>
      <c r="L27" s="41">
        <f>SUM(L14:L26)</f>
        <v>22.520547945205522</v>
      </c>
      <c r="M27" s="48"/>
      <c r="N27" s="42">
        <f>SUM(N15:N26)</f>
        <v>100.00000016111325</v>
      </c>
    </row>
    <row r="28" spans="1:17" s="46" customFormat="1" ht="21" customHeight="1">
      <c r="E28" s="47"/>
      <c r="M28" s="48"/>
    </row>
    <row r="29" spans="1:17" ht="15" customHeight="1"/>
    <row r="30" spans="1:17" ht="15" customHeight="1"/>
    <row r="31" spans="1:17" ht="15" customHeight="1">
      <c r="F31" s="125" t="s">
        <v>18</v>
      </c>
      <c r="G31" s="125"/>
      <c r="H31" s="125"/>
      <c r="I31" s="125"/>
      <c r="J31" s="125"/>
      <c r="K31" s="125"/>
      <c r="L31" s="125"/>
    </row>
    <row r="32" spans="1:17" ht="24.75" customHeight="1">
      <c r="F32" s="125"/>
      <c r="G32" s="125"/>
      <c r="H32" s="125"/>
      <c r="I32" s="125"/>
      <c r="J32" s="125"/>
      <c r="K32" s="125"/>
      <c r="L32" s="125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sheetProtection algorithmName="SHA-512" hashValue="eyQoulHZsN9hTEY0hQ1Mi1ypwABeYuGqzcS8ZU+yCGBDc8TG3lLycmhzY6Y/DGn8BGTDam6hhwncYgWilkWaBA==" saltValue="CciKTmJ4YxWStKd1sgGRRQ==" spinCount="100000" sheet="1" selectLockedCells="1"/>
  <mergeCells count="6">
    <mergeCell ref="F27:H27"/>
    <mergeCell ref="F31:L32"/>
    <mergeCell ref="J11:K11"/>
    <mergeCell ref="J8:K8"/>
    <mergeCell ref="J9:K9"/>
    <mergeCell ref="J10:K10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ON Clase XXXIX Adicionales</vt:lpstr>
      <vt:lpstr>ON YPF Clase XL</vt:lpstr>
      <vt:lpstr>'ON Clase XXXIX Adicionales'!Área_de_impresión</vt:lpstr>
      <vt:lpstr>'ON YPF Clase XL'!Área_de_impresión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Allaria Office</cp:lastModifiedBy>
  <dcterms:created xsi:type="dcterms:W3CDTF">2021-09-15T11:57:40Z</dcterms:created>
  <dcterms:modified xsi:type="dcterms:W3CDTF">2025-08-26T14:14:50Z</dcterms:modified>
</cp:coreProperties>
</file>