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FF MilAires\FF Milaires II\"/>
    </mc:Choice>
  </mc:AlternateContent>
  <xr:revisionPtr revIDLastSave="0" documentId="13_ncr:1_{EC2A2BC9-4197-4089-B1CA-2EE59DA7341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RD" sheetId="3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" l="1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21" i="3"/>
  <c r="H9" i="3"/>
  <c r="I35" i="3" l="1"/>
  <c r="J24" i="3"/>
  <c r="N20" i="3"/>
  <c r="R20" i="3" s="1"/>
  <c r="J21" i="3"/>
  <c r="G20" i="3" l="1"/>
  <c r="G21" i="3" s="1"/>
  <c r="T21" i="3" s="1"/>
  <c r="G22" i="3" l="1"/>
  <c r="T22" i="3" s="1"/>
  <c r="C21" i="3"/>
  <c r="G23" i="3"/>
  <c r="C22" i="3"/>
  <c r="G24" i="3" l="1"/>
  <c r="T23" i="3"/>
  <c r="J28" i="3"/>
  <c r="J32" i="3"/>
  <c r="G25" i="3" l="1"/>
  <c r="T24" i="3"/>
  <c r="J34" i="3"/>
  <c r="J30" i="3"/>
  <c r="J26" i="3"/>
  <c r="J33" i="3"/>
  <c r="J31" i="3"/>
  <c r="J29" i="3"/>
  <c r="J27" i="3"/>
  <c r="J22" i="3"/>
  <c r="J25" i="3"/>
  <c r="J23" i="3"/>
  <c r="G26" i="3" l="1"/>
  <c r="T25" i="3"/>
  <c r="J35" i="3"/>
  <c r="S20" i="3"/>
  <c r="G27" i="3" l="1"/>
  <c r="T26" i="3"/>
  <c r="C23" i="3"/>
  <c r="C24" i="3"/>
  <c r="C25" i="3"/>
  <c r="C26" i="3"/>
  <c r="C27" i="3"/>
  <c r="G28" i="3" l="1"/>
  <c r="T27" i="3"/>
  <c r="M20" i="3"/>
  <c r="K21" i="3" s="1"/>
  <c r="G29" i="3" l="1"/>
  <c r="T28" i="3"/>
  <c r="C28" i="3"/>
  <c r="M21" i="3"/>
  <c r="K22" i="3" s="1"/>
  <c r="T20" i="3"/>
  <c r="G30" i="3" l="1"/>
  <c r="T29" i="3"/>
  <c r="C29" i="3"/>
  <c r="L21" i="3"/>
  <c r="G31" i="3" l="1"/>
  <c r="T30" i="3"/>
  <c r="C30" i="3"/>
  <c r="N21" i="3"/>
  <c r="R21" i="3" s="1"/>
  <c r="S21" i="3" s="1"/>
  <c r="M22" i="3"/>
  <c r="K23" i="3" s="1"/>
  <c r="G32" i="3" l="1"/>
  <c r="T31" i="3"/>
  <c r="C31" i="3"/>
  <c r="L23" i="3"/>
  <c r="N23" i="3" s="1"/>
  <c r="R23" i="3" s="1"/>
  <c r="S23" i="3" s="1"/>
  <c r="M23" i="3"/>
  <c r="K24" i="3" s="1"/>
  <c r="G33" i="3" l="1"/>
  <c r="T32" i="3"/>
  <c r="C32" i="3"/>
  <c r="L24" i="3"/>
  <c r="N24" i="3" s="1"/>
  <c r="R24" i="3" s="1"/>
  <c r="S24" i="3" s="1"/>
  <c r="M24" i="3"/>
  <c r="K25" i="3" s="1"/>
  <c r="T33" i="3" l="1"/>
  <c r="G34" i="3"/>
  <c r="C33" i="3"/>
  <c r="L25" i="3"/>
  <c r="N25" i="3" s="1"/>
  <c r="R25" i="3" s="1"/>
  <c r="S25" i="3" s="1"/>
  <c r="M25" i="3"/>
  <c r="K26" i="3" s="1"/>
  <c r="T34" i="3" l="1"/>
  <c r="C34" i="3"/>
  <c r="L26" i="3"/>
  <c r="N26" i="3" s="1"/>
  <c r="R26" i="3" s="1"/>
  <c r="S26" i="3" s="1"/>
  <c r="M26" i="3"/>
  <c r="K27" i="3" s="1"/>
  <c r="L27" i="3" l="1"/>
  <c r="N27" i="3" s="1"/>
  <c r="R27" i="3" s="1"/>
  <c r="S27" i="3" s="1"/>
  <c r="M27" i="3" l="1"/>
  <c r="K28" i="3" s="1"/>
  <c r="M28" i="3" l="1"/>
  <c r="K29" i="3" s="1"/>
  <c r="M29" i="3" l="1"/>
  <c r="L28" i="3"/>
  <c r="N28" i="3" s="1"/>
  <c r="R28" i="3" s="1"/>
  <c r="S28" i="3" s="1"/>
  <c r="K30" i="3" l="1"/>
  <c r="L30" i="3" s="1"/>
  <c r="M30" i="3"/>
  <c r="L29" i="3"/>
  <c r="N29" i="3" s="1"/>
  <c r="R29" i="3" s="1"/>
  <c r="S29" i="3" s="1"/>
  <c r="N30" i="3" l="1"/>
  <c r="R30" i="3" s="1"/>
  <c r="S30" i="3" s="1"/>
  <c r="M31" i="3"/>
  <c r="K31" i="3"/>
  <c r="L31" i="3" s="1"/>
  <c r="N31" i="3" l="1"/>
  <c r="R31" i="3" s="1"/>
  <c r="S31" i="3" s="1"/>
  <c r="K32" i="3"/>
  <c r="L32" i="3" s="1"/>
  <c r="M32" i="3"/>
  <c r="N32" i="3" l="1"/>
  <c r="R32" i="3" s="1"/>
  <c r="S32" i="3" s="1"/>
  <c r="K33" i="3"/>
  <c r="L33" i="3" s="1"/>
  <c r="M33" i="3"/>
  <c r="K34" i="3" s="1"/>
  <c r="K35" i="3" l="1"/>
  <c r="N33" i="3"/>
  <c r="R33" i="3" s="1"/>
  <c r="S33" i="3" s="1"/>
  <c r="M34" i="3"/>
  <c r="L34" i="3"/>
  <c r="N34" i="3" l="1"/>
  <c r="R34" i="3" s="1"/>
  <c r="S34" i="3" s="1"/>
  <c r="L22" i="3" l="1"/>
  <c r="N22" i="3" l="1"/>
  <c r="L35" i="3"/>
  <c r="R22" i="3"/>
  <c r="S22" i="3" s="1"/>
  <c r="S35" i="3" s="1"/>
  <c r="U21" i="3" s="1"/>
  <c r="U32" i="3" l="1"/>
  <c r="N35" i="3"/>
  <c r="N12" i="3"/>
  <c r="N13" i="3" s="1"/>
  <c r="U30" i="3" l="1"/>
  <c r="U31" i="3"/>
  <c r="U33" i="3"/>
  <c r="U34" i="3"/>
  <c r="U24" i="3"/>
  <c r="U20" i="3"/>
  <c r="U27" i="3"/>
  <c r="U29" i="3"/>
  <c r="U26" i="3"/>
  <c r="U23" i="3"/>
  <c r="U25" i="3"/>
  <c r="U28" i="3"/>
  <c r="U22" i="3"/>
  <c r="U35" i="3" l="1"/>
  <c r="V21" i="3" l="1"/>
  <c r="V32" i="3"/>
  <c r="V33" i="3"/>
  <c r="V27" i="3"/>
  <c r="V25" i="3"/>
  <c r="V31" i="3"/>
  <c r="V29" i="3"/>
  <c r="V28" i="3"/>
  <c r="V30" i="3"/>
  <c r="V24" i="3"/>
  <c r="V26" i="3"/>
  <c r="V22" i="3"/>
  <c r="V34" i="3"/>
  <c r="V23" i="3"/>
  <c r="V20" i="3"/>
  <c r="H12" i="3" l="1"/>
</calcChain>
</file>

<file path=xl/sharedStrings.xml><?xml version="1.0" encoding="utf-8"?>
<sst xmlns="http://schemas.openxmlformats.org/spreadsheetml/2006/main" count="34" uniqueCount="33">
  <si>
    <t>Total</t>
  </si>
  <si>
    <t>Fecha de liquidación</t>
  </si>
  <si>
    <t>Fecha Pago</t>
  </si>
  <si>
    <t>días</t>
  </si>
  <si>
    <t>ESTIMACIÓN DE RENDIMIENTO</t>
  </si>
  <si>
    <t>Convención</t>
  </si>
  <si>
    <t xml:space="preserve">Tasa Cupón </t>
  </si>
  <si>
    <t>Duration</t>
  </si>
  <si>
    <t>flujo</t>
  </si>
  <si>
    <t>VA</t>
  </si>
  <si>
    <t>Flujo a min</t>
  </si>
  <si>
    <t>Precio a licitar</t>
  </si>
  <si>
    <t>INGRESAR PRECIO SOLICITADO</t>
  </si>
  <si>
    <t>TIR</t>
  </si>
  <si>
    <t>Duration (meses)</t>
  </si>
  <si>
    <t>Plazo (meses)</t>
  </si>
  <si>
    <t>Capital (UVA)</t>
  </si>
  <si>
    <t>Intereses (UVA)</t>
  </si>
  <si>
    <t>Total (UVA)</t>
  </si>
  <si>
    <t>Saldo de Capital (UVA)</t>
  </si>
  <si>
    <t>Valor UVA Inicial</t>
  </si>
  <si>
    <t>Flujo Inversor (UVA)</t>
  </si>
  <si>
    <t>INGRESAR VALOR NOMINAL OFRECIDO</t>
  </si>
  <si>
    <t>VN ofrecido (UVA)</t>
  </si>
  <si>
    <t>TNA (90 días)</t>
  </si>
  <si>
    <t>Fideicomiso Financiero Individual MilAires II - UVA</t>
  </si>
  <si>
    <t>Calculadora VRD</t>
  </si>
  <si>
    <t>VRD</t>
  </si>
  <si>
    <t>Días de devengamiento</t>
  </si>
  <si>
    <t>Monto en AR$ a integrar</t>
  </si>
  <si>
    <t xml:space="preserve">% Amortización teórica
(fija + variable) </t>
  </si>
  <si>
    <t xml:space="preserve">Esta planilla es meramente orientativa y los resultados que esta arroje no serán vinculantes.
El Interesado deberá, a los efectos de la suscripción de los Valores Representativos de Deuda, basarse en sus propios cálculos y evaluación de los Términos y Condiciones de los Valores Fiduciarios descriptos en el Prospecto que ha tenido a su disposición.
</t>
  </si>
  <si>
    <t>CRONOGRAMA ESTIMADO DE PAGO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</si>
</sst>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 &quot;$&quot;\ * #,##0_ ;_ &quot;$&quot;\ * \-#,##0_ ;_ &quot;$&quot;\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_ ;_ * \-#,##0_ ;_ * &quot;-&quot;??_ ;_ @_ "/>
    <numFmt numFmtId="168" formatCode="_ &quot;$&quot;\ * #,##0_ ;_ &quot;$&quot;\ * \-#,##0_ ;_ &quot;$&quot;\ * &quot;-&quot;??_ ;_ @_ "/>
    <numFmt numFmtId="169" formatCode="0.0000%"/>
    <numFmt numFmtId="170" formatCode="#,##0\ &quot;días&quot;"/>
    <numFmt numFmtId="171" formatCode="#,##0.00000"/>
    <numFmt numFmtId="172" formatCode="0.0000"/>
    <numFmt numFmtId="173" formatCode="_ * #,##0.0_ ;_ * \-#,##0.0_ ;_ * &quot;-&quot;??_ ;_ @_ "/>
    <numFmt numFmtId="174" formatCode="_-[$$-2C0A]\ * #,##0.00_-;\-[$$-2C0A]\ * #,##0.00_-;_-[$$-2C0A]\ * &quot;-&quot;??_-;_-@_-"/>
    <numFmt numFmtId="175" formatCode="[$$-2C0A]\ #,##0;\-[$$-2C0A]\ #,##0"/>
    <numFmt numFmtId="176" formatCode="0.0%"/>
  </numFmts>
  <fonts count="3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verdana"/>
      <family val="2"/>
    </font>
    <font>
      <b/>
      <sz val="11"/>
      <color indexed="30"/>
      <name val="Calibri"/>
      <family val="2"/>
    </font>
    <font>
      <sz val="11"/>
      <color rgb="FFFF0000"/>
      <name val="Calibri"/>
      <family val="2"/>
    </font>
    <font>
      <sz val="11"/>
      <color indexed="8"/>
      <name val="verdana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verdana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4"/>
      <color rgb="FF002060"/>
      <name val="Calibri"/>
      <family val="2"/>
      <scheme val="minor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i/>
      <sz val="20"/>
      <name val="Verdana"/>
      <family val="2"/>
    </font>
    <font>
      <sz val="10"/>
      <name val="Verdana"/>
      <family val="2"/>
    </font>
    <font>
      <b/>
      <i/>
      <sz val="16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9" fontId="6" fillId="0" borderId="0" applyFont="0" applyFill="0" applyBorder="0" applyAlignment="0" applyProtection="0"/>
    <xf numFmtId="0" fontId="7" fillId="0" borderId="0"/>
    <xf numFmtId="166" fontId="6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23" fillId="0" borderId="0"/>
    <xf numFmtId="9" fontId="25" fillId="0" borderId="0" applyFont="0" applyFill="0" applyBorder="0" applyAlignment="0" applyProtection="0"/>
    <xf numFmtId="166" fontId="25" fillId="0" borderId="0" applyFont="0" applyFill="0" applyBorder="0" applyAlignment="0" applyProtection="0"/>
  </cellStyleXfs>
  <cellXfs count="105">
    <xf numFmtId="0" fontId="0" fillId="0" borderId="0" xfId="0"/>
    <xf numFmtId="10" fontId="2" fillId="0" borderId="0" xfId="3" applyNumberFormat="1" applyFont="1" applyAlignment="1" applyProtection="1">
      <alignment horizontal="center" vertical="center"/>
      <protection hidden="1"/>
    </xf>
    <xf numFmtId="0" fontId="20" fillId="4" borderId="0" xfId="5" applyFont="1" applyFill="1" applyAlignment="1" applyProtection="1">
      <alignment horizontal="left"/>
      <protection hidden="1"/>
    </xf>
    <xf numFmtId="0" fontId="23" fillId="4" borderId="0" xfId="7" applyFill="1" applyProtection="1">
      <protection hidden="1"/>
    </xf>
    <xf numFmtId="0" fontId="20" fillId="4" borderId="0" xfId="5" applyFont="1" applyFill="1" applyAlignment="1" applyProtection="1">
      <alignment horizontal="left" vertical="center"/>
      <protection hidden="1"/>
    </xf>
    <xf numFmtId="169" fontId="2" fillId="0" borderId="0" xfId="3" applyNumberFormat="1" applyFont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3" fillId="4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 applyAlignment="1" applyProtection="1">
      <alignment vertical="center"/>
      <protection hidden="1"/>
    </xf>
    <xf numFmtId="0" fontId="2" fillId="4" borderId="0" xfId="5" applyFont="1" applyFill="1" applyAlignment="1" applyProtection="1">
      <alignment vertical="center"/>
      <protection hidden="1"/>
    </xf>
    <xf numFmtId="0" fontId="10" fillId="4" borderId="0" xfId="5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6" fillId="4" borderId="0" xfId="5" applyFont="1" applyFill="1" applyProtection="1">
      <protection hidden="1"/>
    </xf>
    <xf numFmtId="0" fontId="10" fillId="4" borderId="0" xfId="5" applyFill="1" applyProtection="1">
      <protection hidden="1"/>
    </xf>
    <xf numFmtId="171" fontId="16" fillId="4" borderId="0" xfId="5" applyNumberFormat="1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4" fontId="8" fillId="0" borderId="0" xfId="0" applyNumberFormat="1" applyFont="1" applyProtection="1">
      <protection hidden="1"/>
    </xf>
    <xf numFmtId="170" fontId="3" fillId="0" borderId="0" xfId="0" applyNumberFormat="1" applyFont="1" applyAlignment="1" applyProtection="1">
      <alignment horizontal="center"/>
      <protection hidden="1"/>
    </xf>
    <xf numFmtId="168" fontId="0" fillId="0" borderId="0" xfId="0" applyNumberFormat="1" applyProtection="1">
      <protection hidden="1"/>
    </xf>
    <xf numFmtId="164" fontId="3" fillId="0" borderId="0" xfId="0" applyNumberFormat="1" applyFont="1" applyProtection="1">
      <protection hidden="1"/>
    </xf>
    <xf numFmtId="170" fontId="0" fillId="0" borderId="0" xfId="0" applyNumberForma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vertical="top" wrapText="1"/>
      <protection hidden="1"/>
    </xf>
    <xf numFmtId="167" fontId="6" fillId="0" borderId="0" xfId="4" applyNumberFormat="1" applyFont="1" applyBorder="1" applyProtection="1">
      <protection hidden="1"/>
    </xf>
    <xf numFmtId="164" fontId="0" fillId="0" borderId="4" xfId="0" applyNumberFormat="1" applyBorder="1" applyProtection="1">
      <protection hidden="1"/>
    </xf>
    <xf numFmtId="167" fontId="9" fillId="0" borderId="3" xfId="4" applyNumberFormat="1" applyFont="1" applyBorder="1" applyProtection="1">
      <protection hidden="1"/>
    </xf>
    <xf numFmtId="164" fontId="3" fillId="0" borderId="3" xfId="0" applyNumberFormat="1" applyFont="1" applyBorder="1" applyProtection="1"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vertical="top" wrapText="1"/>
      <protection hidden="1"/>
    </xf>
    <xf numFmtId="167" fontId="28" fillId="0" borderId="0" xfId="4" applyNumberFormat="1" applyFont="1" applyBorder="1" applyProtection="1">
      <protection hidden="1"/>
    </xf>
    <xf numFmtId="164" fontId="25" fillId="0" borderId="0" xfId="0" applyNumberFormat="1" applyFont="1" applyProtection="1">
      <protection hidden="1"/>
    </xf>
    <xf numFmtId="0" fontId="0" fillId="4" borderId="7" xfId="0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 applyProtection="1">
      <alignment horizontal="center" vertical="center" wrapText="1"/>
      <protection hidden="1"/>
    </xf>
    <xf numFmtId="164" fontId="1" fillId="7" borderId="5" xfId="0" applyNumberFormat="1" applyFont="1" applyFill="1" applyBorder="1" applyProtection="1">
      <protection hidden="1"/>
    </xf>
    <xf numFmtId="0" fontId="1" fillId="7" borderId="8" xfId="0" applyFont="1" applyFill="1" applyBorder="1" applyProtection="1">
      <protection hidden="1"/>
    </xf>
    <xf numFmtId="167" fontId="1" fillId="7" borderId="8" xfId="0" applyNumberFormat="1" applyFont="1" applyFill="1" applyBorder="1" applyProtection="1">
      <protection hidden="1"/>
    </xf>
    <xf numFmtId="0" fontId="1" fillId="7" borderId="6" xfId="0" applyFont="1" applyFill="1" applyBorder="1" applyProtection="1">
      <protection hidden="1"/>
    </xf>
    <xf numFmtId="172" fontId="27" fillId="7" borderId="8" xfId="0" applyNumberFormat="1" applyFont="1" applyFill="1" applyBorder="1" applyProtection="1">
      <protection hidden="1"/>
    </xf>
    <xf numFmtId="0" fontId="22" fillId="4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22" fillId="2" borderId="0" xfId="0" applyFont="1" applyFill="1" applyProtection="1">
      <protection hidden="1"/>
    </xf>
    <xf numFmtId="0" fontId="10" fillId="2" borderId="0" xfId="5" applyFill="1" applyProtection="1">
      <protection hidden="1"/>
    </xf>
    <xf numFmtId="0" fontId="22" fillId="4" borderId="0" xfId="0" applyFont="1" applyFill="1" applyAlignment="1" applyProtection="1">
      <alignment horizontal="left"/>
      <protection hidden="1"/>
    </xf>
    <xf numFmtId="169" fontId="10" fillId="4" borderId="0" xfId="5" applyNumberFormat="1" applyFill="1" applyProtection="1">
      <protection hidden="1"/>
    </xf>
    <xf numFmtId="0" fontId="15" fillId="3" borderId="11" xfId="5" applyFont="1" applyFill="1" applyBorder="1" applyAlignment="1" applyProtection="1">
      <alignment horizontal="center" vertical="center"/>
      <protection hidden="1"/>
    </xf>
    <xf numFmtId="0" fontId="18" fillId="4" borderId="0" xfId="5" applyFont="1" applyFill="1" applyAlignment="1" applyProtection="1">
      <alignment horizontal="center"/>
      <protection hidden="1"/>
    </xf>
    <xf numFmtId="168" fontId="18" fillId="0" borderId="0" xfId="6" applyNumberFormat="1" applyFont="1" applyFill="1" applyBorder="1" applyProtection="1">
      <protection hidden="1"/>
    </xf>
    <xf numFmtId="0" fontId="15" fillId="3" borderId="1" xfId="5" applyFont="1" applyFill="1" applyBorder="1" applyAlignment="1" applyProtection="1">
      <alignment horizontal="center" vertical="center"/>
      <protection hidden="1"/>
    </xf>
    <xf numFmtId="0" fontId="21" fillId="4" borderId="0" xfId="0" applyFont="1" applyFill="1" applyAlignment="1" applyProtection="1">
      <alignment vertical="center"/>
      <protection hidden="1"/>
    </xf>
    <xf numFmtId="0" fontId="10" fillId="0" borderId="0" xfId="5" applyProtection="1">
      <protection hidden="1"/>
    </xf>
    <xf numFmtId="10" fontId="0" fillId="0" borderId="0" xfId="0" applyNumberFormat="1" applyProtection="1">
      <protection hidden="1"/>
    </xf>
    <xf numFmtId="0" fontId="19" fillId="4" borderId="0" xfId="0" applyFont="1" applyFill="1" applyProtection="1">
      <protection hidden="1"/>
    </xf>
    <xf numFmtId="0" fontId="15" fillId="3" borderId="1" xfId="5" applyFont="1" applyFill="1" applyBorder="1" applyAlignment="1" applyProtection="1">
      <alignment horizontal="left" vertical="center"/>
      <protection hidden="1"/>
    </xf>
    <xf numFmtId="0" fontId="1" fillId="3" borderId="7" xfId="0" applyFont="1" applyFill="1" applyBorder="1" applyAlignment="1" applyProtection="1">
      <alignment vertical="center"/>
      <protection hidden="1"/>
    </xf>
    <xf numFmtId="0" fontId="2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1" fillId="3" borderId="11" xfId="5" applyFont="1" applyFill="1" applyBorder="1" applyAlignment="1" applyProtection="1">
      <alignment horizontal="center" vertical="center"/>
      <protection hidden="1"/>
    </xf>
    <xf numFmtId="0" fontId="11" fillId="3" borderId="10" xfId="5" applyFont="1" applyFill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14" fontId="5" fillId="5" borderId="3" xfId="0" applyNumberFormat="1" applyFont="1" applyFill="1" applyBorder="1" applyAlignment="1" applyProtection="1">
      <alignment horizontal="center"/>
      <protection hidden="1"/>
    </xf>
    <xf numFmtId="0" fontId="5" fillId="5" borderId="0" xfId="0" applyFont="1" applyFill="1" applyAlignment="1" applyProtection="1">
      <alignment horizontal="center"/>
      <protection hidden="1"/>
    </xf>
    <xf numFmtId="14" fontId="0" fillId="5" borderId="3" xfId="0" applyNumberFormat="1" applyFill="1" applyBorder="1" applyAlignment="1" applyProtection="1">
      <alignment horizontal="center"/>
      <protection hidden="1"/>
    </xf>
    <xf numFmtId="14" fontId="4" fillId="3" borderId="11" xfId="0" applyNumberFormat="1" applyFont="1" applyFill="1" applyBorder="1" applyAlignment="1" applyProtection="1">
      <alignment horizontal="center"/>
      <protection hidden="1"/>
    </xf>
    <xf numFmtId="0" fontId="1" fillId="3" borderId="10" xfId="0" applyFont="1" applyFill="1" applyBorder="1" applyAlignment="1" applyProtection="1">
      <alignment vertical="center"/>
      <protection hidden="1"/>
    </xf>
    <xf numFmtId="3" fontId="8" fillId="0" borderId="0" xfId="0" applyNumberFormat="1" applyFont="1" applyProtection="1">
      <protection hidden="1"/>
    </xf>
    <xf numFmtId="3" fontId="0" fillId="0" borderId="0" xfId="0" applyNumberFormat="1" applyProtection="1">
      <protection hidden="1"/>
    </xf>
    <xf numFmtId="3" fontId="8" fillId="2" borderId="0" xfId="0" applyNumberFormat="1" applyFont="1" applyFill="1" applyProtection="1">
      <protection hidden="1"/>
    </xf>
    <xf numFmtId="16" fontId="0" fillId="4" borderId="0" xfId="0" applyNumberFormat="1" applyFill="1" applyProtection="1">
      <protection hidden="1"/>
    </xf>
    <xf numFmtId="10" fontId="18" fillId="5" borderId="9" xfId="8" applyNumberFormat="1" applyFont="1" applyFill="1" applyBorder="1" applyAlignment="1" applyProtection="1">
      <alignment vertical="center"/>
      <protection hidden="1"/>
    </xf>
    <xf numFmtId="2" fontId="18" fillId="5" borderId="12" xfId="8" applyNumberFormat="1" applyFont="1" applyFill="1" applyBorder="1" applyAlignment="1" applyProtection="1">
      <alignment horizontal="center" vertical="center"/>
      <protection hidden="1"/>
    </xf>
    <xf numFmtId="0" fontId="15" fillId="3" borderId="11" xfId="5" applyFont="1" applyFill="1" applyBorder="1" applyAlignment="1" applyProtection="1">
      <alignment horizontal="left" vertical="center"/>
      <protection hidden="1"/>
    </xf>
    <xf numFmtId="1" fontId="18" fillId="5" borderId="13" xfId="8" applyNumberFormat="1" applyFont="1" applyFill="1" applyBorder="1" applyAlignment="1" applyProtection="1">
      <alignment horizontal="center" vertical="center"/>
      <protection hidden="1"/>
    </xf>
    <xf numFmtId="167" fontId="0" fillId="5" borderId="0" xfId="9" applyNumberFormat="1" applyFont="1" applyFill="1" applyBorder="1" applyProtection="1">
      <protection hidden="1"/>
    </xf>
    <xf numFmtId="0" fontId="11" fillId="3" borderId="10" xfId="5" applyFont="1" applyFill="1" applyBorder="1" applyAlignment="1" applyProtection="1">
      <alignment horizontal="center" vertical="center" wrapText="1"/>
      <protection hidden="1"/>
    </xf>
    <xf numFmtId="10" fontId="18" fillId="5" borderId="12" xfId="8" applyNumberFormat="1" applyFont="1" applyFill="1" applyBorder="1" applyAlignment="1" applyProtection="1">
      <alignment horizontal="center" vertical="center"/>
      <protection hidden="1"/>
    </xf>
    <xf numFmtId="9" fontId="4" fillId="3" borderId="10" xfId="8" applyFont="1" applyFill="1" applyBorder="1" applyProtection="1">
      <protection hidden="1"/>
    </xf>
    <xf numFmtId="0" fontId="11" fillId="3" borderId="12" xfId="5" applyFont="1" applyFill="1" applyBorder="1" applyAlignment="1" applyProtection="1">
      <alignment horizontal="center" vertical="center" wrapText="1"/>
      <protection hidden="1"/>
    </xf>
    <xf numFmtId="10" fontId="17" fillId="6" borderId="12" xfId="5" applyNumberFormat="1" applyFont="1" applyFill="1" applyBorder="1" applyAlignment="1" applyProtection="1">
      <alignment horizontal="center" vertical="center"/>
      <protection locked="0" hidden="1"/>
    </xf>
    <xf numFmtId="14" fontId="18" fillId="5" borderId="9" xfId="5" applyNumberFormat="1" applyFont="1" applyFill="1" applyBorder="1" applyAlignment="1" applyProtection="1">
      <alignment horizontal="center" vertical="center"/>
      <protection hidden="1"/>
    </xf>
    <xf numFmtId="167" fontId="17" fillId="6" borderId="12" xfId="9" applyNumberFormat="1" applyFont="1" applyFill="1" applyBorder="1" applyAlignment="1" applyProtection="1">
      <alignment horizontal="left" vertical="center"/>
      <protection locked="0" hidden="1"/>
    </xf>
    <xf numFmtId="174" fontId="18" fillId="5" borderId="12" xfId="8" applyNumberFormat="1" applyFont="1" applyFill="1" applyBorder="1" applyAlignment="1" applyProtection="1">
      <alignment horizontal="center" vertical="center"/>
      <protection hidden="1"/>
    </xf>
    <xf numFmtId="0" fontId="30" fillId="4" borderId="0" xfId="0" applyFont="1" applyFill="1" applyProtection="1">
      <protection hidden="1"/>
    </xf>
    <xf numFmtId="175" fontId="18" fillId="5" borderId="12" xfId="9" applyNumberFormat="1" applyFont="1" applyFill="1" applyBorder="1" applyAlignment="1" applyProtection="1">
      <alignment vertical="center"/>
      <protection hidden="1"/>
    </xf>
    <xf numFmtId="14" fontId="5" fillId="5" borderId="0" xfId="0" applyNumberFormat="1" applyFont="1" applyFill="1" applyAlignment="1" applyProtection="1">
      <alignment horizontal="center"/>
      <protection hidden="1"/>
    </xf>
    <xf numFmtId="14" fontId="4" fillId="3" borderId="10" xfId="0" applyNumberFormat="1" applyFont="1" applyFill="1" applyBorder="1" applyAlignment="1" applyProtection="1">
      <alignment horizontal="center"/>
      <protection hidden="1"/>
    </xf>
    <xf numFmtId="167" fontId="0" fillId="5" borderId="0" xfId="9" applyNumberFormat="1" applyFont="1" applyFill="1" applyBorder="1" applyAlignment="1" applyProtection="1">
      <alignment horizontal="center"/>
      <protection hidden="1"/>
    </xf>
    <xf numFmtId="173" fontId="0" fillId="5" borderId="0" xfId="9" applyNumberFormat="1" applyFont="1" applyFill="1" applyBorder="1" applyProtection="1">
      <protection hidden="1"/>
    </xf>
    <xf numFmtId="173" fontId="26" fillId="5" borderId="0" xfId="9" applyNumberFormat="1" applyFont="1" applyFill="1" applyBorder="1" applyProtection="1">
      <protection hidden="1"/>
    </xf>
    <xf numFmtId="173" fontId="26" fillId="5" borderId="14" xfId="9" applyNumberFormat="1" applyFont="1" applyFill="1" applyBorder="1" applyProtection="1">
      <protection hidden="1"/>
    </xf>
    <xf numFmtId="173" fontId="0" fillId="5" borderId="14" xfId="9" applyNumberFormat="1" applyFont="1" applyFill="1" applyBorder="1" applyProtection="1">
      <protection hidden="1"/>
    </xf>
    <xf numFmtId="173" fontId="4" fillId="3" borderId="10" xfId="9" applyNumberFormat="1" applyFont="1" applyFill="1" applyBorder="1" applyProtection="1">
      <protection hidden="1"/>
    </xf>
    <xf numFmtId="173" fontId="4" fillId="3" borderId="12" xfId="9" applyNumberFormat="1" applyFont="1" applyFill="1" applyBorder="1" applyProtection="1">
      <protection hidden="1"/>
    </xf>
    <xf numFmtId="176" fontId="0" fillId="5" borderId="0" xfId="8" applyNumberFormat="1" applyFont="1" applyFill="1" applyBorder="1" applyProtection="1">
      <protection hidden="1"/>
    </xf>
    <xf numFmtId="0" fontId="14" fillId="5" borderId="0" xfId="0" applyFont="1" applyFill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12" fillId="5" borderId="1" xfId="5" applyFont="1" applyFill="1" applyBorder="1" applyAlignment="1" applyProtection="1">
      <alignment horizontal="center" vertical="center"/>
      <protection hidden="1"/>
    </xf>
    <xf numFmtId="0" fontId="12" fillId="5" borderId="7" xfId="5" applyFont="1" applyFill="1" applyBorder="1" applyAlignment="1" applyProtection="1">
      <alignment horizontal="center" vertical="center"/>
      <protection hidden="1"/>
    </xf>
    <xf numFmtId="0" fontId="12" fillId="5" borderId="2" xfId="5" applyFont="1" applyFill="1" applyBorder="1" applyAlignment="1" applyProtection="1">
      <alignment horizontal="center" vertical="center"/>
      <protection hidden="1"/>
    </xf>
  </cellXfs>
  <cellStyles count="10">
    <cellStyle name="Millares" xfId="9" builtinId="3"/>
    <cellStyle name="Millares 2" xfId="4" xr:uid="{00000000-0005-0000-0000-000001000000}"/>
    <cellStyle name="Moneda_Calculadora Garbarino 45_v1" xfId="6" xr:uid="{00000000-0005-0000-0000-000002000000}"/>
    <cellStyle name="Normal" xfId="0" builtinId="0"/>
    <cellStyle name="Normal 2" xfId="1" xr:uid="{00000000-0005-0000-0000-000004000000}"/>
    <cellStyle name="Normal 2 2" xfId="3" xr:uid="{00000000-0005-0000-0000-000005000000}"/>
    <cellStyle name="Normal_Calculadora Garbarino 45_v1" xfId="5" xr:uid="{00000000-0005-0000-0000-000006000000}"/>
    <cellStyle name="Normal_Flujos S XXXIV Garba" xfId="7" xr:uid="{00000000-0005-0000-0000-000007000000}"/>
    <cellStyle name="Porcentaje" xfId="8" builtinId="5"/>
    <cellStyle name="Porcentaje 2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1002676</xdr:colOff>
      <xdr:row>0</xdr:row>
      <xdr:rowOff>10584</xdr:rowOff>
    </xdr:from>
    <xdr:to>
      <xdr:col>6</xdr:col>
      <xdr:colOff>1812148</xdr:colOff>
      <xdr:row>2</xdr:row>
      <xdr:rowOff>45882</xdr:rowOff>
    </xdr:to>
    <xdr:pic>
      <xdr:nvPicPr>
        <xdr:cNvPr id="3" name="Imagen 2" descr="MilAires">
          <a:extLst>
            <a:ext uri="{FF2B5EF4-FFF2-40B4-BE49-F238E27FC236}">
              <a16:creationId xmlns:a16="http://schemas.microsoft.com/office/drawing/2014/main" id="{C5F09B1E-66B7-4555-875D-24F3983E6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676" y="10584"/>
          <a:ext cx="1920722" cy="744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1785470</xdr:colOff>
      <xdr:row>0</xdr:row>
      <xdr:rowOff>191746</xdr:rowOff>
    </xdr:from>
    <xdr:to>
      <xdr:col>7</xdr:col>
      <xdr:colOff>952874</xdr:colOff>
      <xdr:row>1</xdr:row>
      <xdr:rowOff>230748</xdr:rowOff>
    </xdr:to>
    <xdr:pic>
      <xdr:nvPicPr>
        <xdr:cNvPr id="5" name="Picture 1" descr="Grupo Ecipsa (@grupoecipsa) • Instagram photos and videos">
          <a:extLst>
            <a:ext uri="{FF2B5EF4-FFF2-40B4-BE49-F238E27FC236}">
              <a16:creationId xmlns:a16="http://schemas.microsoft.com/office/drawing/2014/main" id="{5B688D20-471D-41ED-B81D-664C5F6049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5" t="34360" r="7487" b="32159"/>
        <a:stretch/>
      </xdr:blipFill>
      <xdr:spPr bwMode="auto">
        <a:xfrm>
          <a:off x="2346387" y="191746"/>
          <a:ext cx="1209987" cy="441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497417</xdr:colOff>
      <xdr:row>0</xdr:row>
      <xdr:rowOff>70347</xdr:rowOff>
    </xdr:from>
    <xdr:to>
      <xdr:col>13</xdr:col>
      <xdr:colOff>914700</xdr:colOff>
      <xdr:row>1</xdr:row>
      <xdr:rowOff>186764</xdr:rowOff>
    </xdr:to>
    <xdr:pic>
      <xdr:nvPicPr>
        <xdr:cNvPr id="8" name="Imagen 7" descr="Allaria">
          <a:extLst>
            <a:ext uri="{FF2B5EF4-FFF2-40B4-BE49-F238E27FC236}">
              <a16:creationId xmlns:a16="http://schemas.microsoft.com/office/drawing/2014/main" id="{F8FE8F23-FDB8-2D8A-F5E2-33EBE5B32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0834" y="70347"/>
          <a:ext cx="1685772" cy="518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showGridLines="0" tabSelected="1" topLeftCell="F1" zoomScale="70" zoomScaleNormal="70" workbookViewId="0">
      <selection activeCell="H7" sqref="H7"/>
    </sheetView>
  </sheetViews>
  <sheetFormatPr baseColWidth="10" defaultColWidth="4.140625" defaultRowHeight="15" x14ac:dyDescent="0.25"/>
  <cols>
    <col min="1" max="1" width="13.42578125" style="12" hidden="1" customWidth="1"/>
    <col min="2" max="2" width="18.42578125" style="12" hidden="1" customWidth="1"/>
    <col min="3" max="3" width="9" style="12" hidden="1" customWidth="1"/>
    <col min="4" max="4" width="35.7109375" style="12" hidden="1" customWidth="1"/>
    <col min="5" max="5" width="8" style="12" hidden="1" customWidth="1"/>
    <col min="6" max="6" width="15.85546875" style="12" customWidth="1"/>
    <col min="7" max="7" width="29.28515625" style="12" customWidth="1"/>
    <col min="8" max="8" width="21.7109375" style="12" customWidth="1"/>
    <col min="9" max="9" width="22.5703125" style="12" customWidth="1"/>
    <col min="10" max="10" width="18" style="12" customWidth="1"/>
    <col min="11" max="11" width="17" style="12" customWidth="1"/>
    <col min="12" max="12" width="17.5703125" style="12" customWidth="1"/>
    <col min="13" max="13" width="17.42578125" style="12" customWidth="1"/>
    <col min="14" max="14" width="19.85546875" style="12" customWidth="1"/>
    <col min="15" max="15" width="15.5703125" style="12" customWidth="1"/>
    <col min="16" max="16" width="15.5703125" style="12" hidden="1" customWidth="1"/>
    <col min="17" max="17" width="42.140625" style="12" hidden="1" customWidth="1"/>
    <col min="18" max="18" width="14.5703125" style="18" hidden="1" customWidth="1"/>
    <col min="19" max="19" width="12.7109375" style="18" hidden="1" customWidth="1"/>
    <col min="20" max="20" width="6.5703125" style="12" hidden="1" customWidth="1"/>
    <col min="21" max="22" width="12" style="12" hidden="1" customWidth="1"/>
    <col min="23" max="24" width="6.7109375" style="12" hidden="1" customWidth="1"/>
    <col min="25" max="25" width="4.140625" style="12" customWidth="1"/>
    <col min="26" max="26" width="9.28515625" style="12" customWidth="1"/>
    <col min="27" max="28" width="4.140625" style="12" customWidth="1"/>
    <col min="29" max="29" width="15.5703125" style="12" customWidth="1"/>
    <col min="30" max="30" width="9.28515625" style="12" customWidth="1"/>
    <col min="31" max="32" width="4.140625" style="12" customWidth="1"/>
    <col min="33" max="33" width="15.5703125" style="12" customWidth="1"/>
    <col min="34" max="16384" width="4.140625" style="12"/>
  </cols>
  <sheetData>
    <row r="1" spans="1:20" s="6" customFormat="1" ht="31.5" customHeight="1" x14ac:dyDescent="0.3">
      <c r="E1" s="43"/>
      <c r="R1" s="7"/>
      <c r="S1" s="7"/>
    </row>
    <row r="2" spans="1:20" s="6" customFormat="1" ht="24.75" x14ac:dyDescent="0.3">
      <c r="D2" s="72"/>
      <c r="L2" s="45"/>
      <c r="M2" s="46"/>
      <c r="N2" s="47"/>
      <c r="O2" s="3"/>
      <c r="P2" s="3"/>
      <c r="R2" s="10"/>
      <c r="S2" s="10"/>
      <c r="T2" s="3"/>
    </row>
    <row r="3" spans="1:20" s="6" customFormat="1" ht="24.75" x14ac:dyDescent="0.3">
      <c r="D3"/>
      <c r="G3" s="86" t="s">
        <v>25</v>
      </c>
      <c r="H3" s="86"/>
      <c r="I3" s="86"/>
      <c r="J3" s="86"/>
      <c r="K3" s="86"/>
      <c r="L3" s="45"/>
      <c r="M3" s="46"/>
      <c r="N3" s="47"/>
      <c r="O3" s="10"/>
      <c r="P3" s="3"/>
      <c r="R3" s="10"/>
      <c r="S3" s="10"/>
      <c r="T3" s="3"/>
    </row>
    <row r="4" spans="1:20" s="6" customFormat="1" ht="24.75" x14ac:dyDescent="0.3">
      <c r="D4" s="72"/>
      <c r="E4" s="44"/>
      <c r="G4" s="86" t="s">
        <v>26</v>
      </c>
      <c r="H4" s="86"/>
      <c r="I4" s="45"/>
      <c r="J4" s="45"/>
      <c r="K4" s="8"/>
      <c r="L4" s="45"/>
      <c r="M4" s="46"/>
      <c r="N4" s="47"/>
      <c r="O4" s="3"/>
      <c r="P4" s="3"/>
      <c r="R4" s="10"/>
      <c r="S4" s="10"/>
      <c r="T4" s="3"/>
    </row>
    <row r="5" spans="1:20" s="6" customFormat="1" ht="25.5" thickBot="1" x14ac:dyDescent="0.35">
      <c r="D5" s="72"/>
      <c r="E5" s="44"/>
      <c r="G5" s="86"/>
      <c r="H5" s="86"/>
      <c r="I5" s="45"/>
      <c r="J5" s="45"/>
      <c r="K5" s="8"/>
      <c r="L5" s="45"/>
      <c r="M5" s="46"/>
      <c r="N5" s="47"/>
      <c r="O5" s="3"/>
      <c r="P5" s="3"/>
      <c r="R5" s="10"/>
      <c r="S5" s="10"/>
      <c r="T5" s="3"/>
    </row>
    <row r="6" spans="1:20" s="6" customFormat="1" ht="25.5" thickBot="1" x14ac:dyDescent="0.35">
      <c r="G6" s="49" t="s">
        <v>23</v>
      </c>
      <c r="H6" s="84">
        <v>17500000</v>
      </c>
      <c r="I6" s="53" t="s">
        <v>22</v>
      </c>
      <c r="K6" s="8"/>
      <c r="L6" s="45"/>
      <c r="M6" s="46"/>
      <c r="N6" s="47"/>
      <c r="O6" s="3"/>
      <c r="P6" s="3"/>
      <c r="R6" s="10"/>
      <c r="S6" s="10"/>
      <c r="T6" s="3"/>
    </row>
    <row r="7" spans="1:20" s="6" customFormat="1" ht="25.5" thickBot="1" x14ac:dyDescent="0.35">
      <c r="G7" s="49" t="s">
        <v>11</v>
      </c>
      <c r="H7" s="82">
        <v>0.92490000000000006</v>
      </c>
      <c r="I7" s="53" t="s">
        <v>12</v>
      </c>
      <c r="L7" s="14"/>
      <c r="M7" s="46"/>
      <c r="N7" s="47"/>
      <c r="O7" s="3"/>
      <c r="P7" s="3"/>
      <c r="R7" s="10"/>
      <c r="S7" s="10"/>
      <c r="T7" s="3"/>
    </row>
    <row r="8" spans="1:20" s="6" customFormat="1" ht="25.5" customHeight="1" thickBot="1" x14ac:dyDescent="0.3">
      <c r="G8" s="49" t="s">
        <v>20</v>
      </c>
      <c r="H8" s="85">
        <v>1495.44</v>
      </c>
      <c r="J8" s="14"/>
      <c r="K8" s="14"/>
      <c r="L8" s="14"/>
      <c r="M8" s="48"/>
      <c r="N8" s="14"/>
      <c r="O8" s="9"/>
      <c r="P8" s="11"/>
      <c r="R8" s="11"/>
      <c r="S8" s="11"/>
      <c r="T8" s="10"/>
    </row>
    <row r="9" spans="1:20" ht="25.5" customHeight="1" thickBot="1" x14ac:dyDescent="0.3">
      <c r="G9" s="49" t="s">
        <v>29</v>
      </c>
      <c r="H9" s="87">
        <f>+H6*H7*H8</f>
        <v>24204817980.000004</v>
      </c>
    </row>
    <row r="10" spans="1:20" s="6" customFormat="1" ht="24" customHeight="1" thickBot="1" x14ac:dyDescent="0.3">
      <c r="A10" s="4"/>
      <c r="B10" s="9"/>
      <c r="G10" s="50"/>
      <c r="H10" s="50"/>
      <c r="I10" s="51"/>
      <c r="J10" s="14"/>
      <c r="K10" s="14"/>
      <c r="R10" s="13"/>
      <c r="S10" s="13"/>
      <c r="T10" s="14"/>
    </row>
    <row r="11" spans="1:20" s="6" customFormat="1" ht="24" customHeight="1" thickBot="1" x14ac:dyDescent="0.35">
      <c r="A11" s="4"/>
      <c r="B11" s="9"/>
      <c r="G11" s="52" t="s">
        <v>6</v>
      </c>
      <c r="H11" s="79">
        <v>7.0000000000000007E-2</v>
      </c>
      <c r="J11" s="14"/>
      <c r="K11" s="14"/>
      <c r="L11" s="56" t="s">
        <v>4</v>
      </c>
      <c r="M11" s="55"/>
      <c r="N11" s="55"/>
      <c r="R11" s="13"/>
      <c r="S11" s="13"/>
      <c r="T11" s="14"/>
    </row>
    <row r="12" spans="1:20" s="6" customFormat="1" ht="24" customHeight="1" thickBot="1" x14ac:dyDescent="0.3">
      <c r="A12" s="2"/>
      <c r="B12" s="9"/>
      <c r="G12" s="49" t="s">
        <v>14</v>
      </c>
      <c r="H12" s="74">
        <f>+SUM(V20:V34)/(365/12)</f>
        <v>21.152001640112154</v>
      </c>
      <c r="J12" s="14"/>
      <c r="K12" s="14"/>
      <c r="L12" s="57" t="s">
        <v>13</v>
      </c>
      <c r="M12" s="58"/>
      <c r="N12" s="73">
        <f>+XIRR(N20:N34,G20:G34)</f>
        <v>0.11996131539344784</v>
      </c>
      <c r="R12" s="15"/>
      <c r="S12" s="15"/>
      <c r="T12" s="12"/>
    </row>
    <row r="13" spans="1:20" s="6" customFormat="1" ht="24" customHeight="1" thickBot="1" x14ac:dyDescent="0.3">
      <c r="A13" s="12" t="s">
        <v>5</v>
      </c>
      <c r="B13" s="12">
        <v>365</v>
      </c>
      <c r="G13" s="49" t="s">
        <v>15</v>
      </c>
      <c r="H13" s="76">
        <f>+(G34-H15)/(365/12)</f>
        <v>42.049315068493151</v>
      </c>
      <c r="J13" s="14"/>
      <c r="K13" s="54"/>
      <c r="L13" s="75" t="s">
        <v>24</v>
      </c>
      <c r="M13" s="68"/>
      <c r="N13" s="73">
        <f>+NOMINAL(N12,4)</f>
        <v>0.11491384601787846</v>
      </c>
      <c r="P13" s="55"/>
      <c r="R13" s="15"/>
      <c r="S13" s="15"/>
      <c r="T13" s="12"/>
    </row>
    <row r="14" spans="1:20" s="6" customFormat="1" ht="24" customHeight="1" thickBot="1" x14ac:dyDescent="0.3">
      <c r="J14" s="14"/>
      <c r="K14" s="54"/>
      <c r="R14" s="15"/>
      <c r="S14" s="15"/>
      <c r="T14" s="12"/>
    </row>
    <row r="15" spans="1:20" s="6" customFormat="1" ht="24" customHeight="1" thickBot="1" x14ac:dyDescent="0.3">
      <c r="G15" s="49" t="s">
        <v>1</v>
      </c>
      <c r="H15" s="83">
        <v>45814</v>
      </c>
      <c r="J15" s="14"/>
      <c r="K15" s="14"/>
      <c r="R15" s="15"/>
      <c r="S15" s="15"/>
      <c r="T15" s="12"/>
    </row>
    <row r="16" spans="1:20" s="16" customFormat="1" ht="19.5" customHeight="1" x14ac:dyDescent="0.25">
      <c r="L16" s="1"/>
      <c r="M16" s="1"/>
      <c r="R16" s="17"/>
      <c r="S16" s="17"/>
    </row>
    <row r="17" spans="1:22" ht="16.5" thickBot="1" x14ac:dyDescent="0.3">
      <c r="G17" s="59" t="s">
        <v>32</v>
      </c>
      <c r="H17" s="59"/>
      <c r="I17" s="60"/>
      <c r="J17" s="60"/>
      <c r="K17" s="60"/>
      <c r="L17" s="60"/>
      <c r="M17" s="60"/>
      <c r="N17" s="60"/>
      <c r="O17" s="16"/>
      <c r="P17" s="16"/>
    </row>
    <row r="18" spans="1:22" ht="31.5" customHeight="1" thickBot="1" x14ac:dyDescent="0.3">
      <c r="A18" s="99"/>
      <c r="B18" s="100"/>
      <c r="C18" s="100"/>
      <c r="D18" s="100"/>
      <c r="G18" s="102" t="s">
        <v>27</v>
      </c>
      <c r="H18" s="103"/>
      <c r="I18" s="103"/>
      <c r="J18" s="103"/>
      <c r="K18" s="103"/>
      <c r="L18" s="103"/>
      <c r="M18" s="103"/>
      <c r="N18" s="104"/>
      <c r="O18" s="16"/>
      <c r="P18" s="16"/>
      <c r="R18" s="32" t="s">
        <v>8</v>
      </c>
      <c r="S18" s="36" t="s">
        <v>10</v>
      </c>
      <c r="T18" s="36" t="s">
        <v>3</v>
      </c>
      <c r="U18" s="36" t="s">
        <v>9</v>
      </c>
      <c r="V18" s="37" t="s">
        <v>7</v>
      </c>
    </row>
    <row r="19" spans="1:22" ht="27" customHeight="1" thickBot="1" x14ac:dyDescent="0.3">
      <c r="A19" s="99"/>
      <c r="B19" s="19"/>
      <c r="C19" s="20" t="s">
        <v>3</v>
      </c>
      <c r="D19" s="101"/>
      <c r="G19" s="61" t="s">
        <v>2</v>
      </c>
      <c r="H19" s="78" t="s">
        <v>28</v>
      </c>
      <c r="I19" s="78" t="s">
        <v>30</v>
      </c>
      <c r="J19" s="62" t="s">
        <v>16</v>
      </c>
      <c r="K19" s="62" t="s">
        <v>17</v>
      </c>
      <c r="L19" s="62" t="s">
        <v>18</v>
      </c>
      <c r="M19" s="78" t="s">
        <v>19</v>
      </c>
      <c r="N19" s="81" t="s">
        <v>21</v>
      </c>
      <c r="O19" s="63"/>
      <c r="P19" s="16"/>
      <c r="R19" s="27"/>
      <c r="S19" s="33"/>
      <c r="T19" s="28"/>
      <c r="U19" s="28"/>
      <c r="V19" s="29"/>
    </row>
    <row r="20" spans="1:22" x14ac:dyDescent="0.25">
      <c r="B20" s="19"/>
      <c r="C20" s="19"/>
      <c r="D20" s="101"/>
      <c r="G20" s="64">
        <f>+H15</f>
        <v>45814</v>
      </c>
      <c r="H20" s="88"/>
      <c r="I20" s="65"/>
      <c r="J20" s="65"/>
      <c r="K20" s="77"/>
      <c r="L20" s="77">
        <v>0</v>
      </c>
      <c r="M20" s="92">
        <f>H6</f>
        <v>17500000</v>
      </c>
      <c r="N20" s="93">
        <f>-H6*H7</f>
        <v>-16185750.000000002</v>
      </c>
      <c r="P20" s="16"/>
      <c r="R20" s="30">
        <f t="shared" ref="R20:R34" si="0">+N20</f>
        <v>-16185750.000000002</v>
      </c>
      <c r="S20" s="34">
        <f>+N20</f>
        <v>-16185750.000000002</v>
      </c>
      <c r="T20" s="28">
        <f t="shared" ref="T20:T34" si="1">+G20-$G$20</f>
        <v>0</v>
      </c>
      <c r="U20" s="28">
        <f t="shared" ref="U20:U34" si="2">+L20/((1+$S$35)^(T20/365))</f>
        <v>0</v>
      </c>
      <c r="V20" s="29">
        <f>+U20/$U$35*T20</f>
        <v>0</v>
      </c>
    </row>
    <row r="21" spans="1:22" x14ac:dyDescent="0.25">
      <c r="A21" s="69"/>
      <c r="B21" s="19"/>
      <c r="C21" s="23">
        <f>+G21-G20</f>
        <v>92</v>
      </c>
      <c r="D21" s="5"/>
      <c r="G21" s="66">
        <f>EDATE(G20,3)</f>
        <v>45906</v>
      </c>
      <c r="H21" s="90">
        <f>+C21</f>
        <v>92</v>
      </c>
      <c r="I21" s="97">
        <v>0.03</v>
      </c>
      <c r="J21" s="91">
        <f t="shared" ref="J21:J34" si="3">+I21*$H$6</f>
        <v>525000</v>
      </c>
      <c r="K21" s="91">
        <f t="shared" ref="K21:K34" si="4">M20*$H$11/$B$13*C21</f>
        <v>308767.1232876713</v>
      </c>
      <c r="L21" s="91">
        <f>J21+K21</f>
        <v>833767.12328767125</v>
      </c>
      <c r="M21" s="91">
        <f>+M20-J21</f>
        <v>16975000</v>
      </c>
      <c r="N21" s="94">
        <f>+L21</f>
        <v>833767.12328767125</v>
      </c>
      <c r="P21" s="16"/>
      <c r="R21" s="31">
        <f t="shared" si="0"/>
        <v>833767.12328767125</v>
      </c>
      <c r="S21" s="35">
        <f>+R21</f>
        <v>833767.12328767125</v>
      </c>
      <c r="T21" s="28">
        <f t="shared" si="1"/>
        <v>92</v>
      </c>
      <c r="U21" s="28">
        <f t="shared" si="2"/>
        <v>810294.53277825285</v>
      </c>
      <c r="V21" s="29">
        <f t="shared" ref="V21:V34" si="5">+U21/$U$35*T21</f>
        <v>4.6057239787758704</v>
      </c>
    </row>
    <row r="22" spans="1:22" x14ac:dyDescent="0.25">
      <c r="A22" s="69"/>
      <c r="B22" s="19"/>
      <c r="C22" s="23">
        <f>+G22-G21</f>
        <v>91</v>
      </c>
      <c r="D22" s="5"/>
      <c r="G22" s="66">
        <f t="shared" ref="G22:G34" si="6">EDATE(G21,3)</f>
        <v>45997</v>
      </c>
      <c r="H22" s="90">
        <f t="shared" ref="H22:H34" si="7">+C22</f>
        <v>91</v>
      </c>
      <c r="I22" s="97">
        <v>0.03</v>
      </c>
      <c r="J22" s="91">
        <f t="shared" si="3"/>
        <v>525000</v>
      </c>
      <c r="K22" s="91">
        <f t="shared" si="4"/>
        <v>296248.63013698626</v>
      </c>
      <c r="L22" s="91">
        <f t="shared" ref="L22:L34" si="8">J22+K22</f>
        <v>821248.63013698626</v>
      </c>
      <c r="M22" s="91">
        <f t="shared" ref="M22:M34" si="9">+M21-J22</f>
        <v>16450000</v>
      </c>
      <c r="N22" s="94">
        <f t="shared" ref="N22:N34" si="10">+L22</f>
        <v>821248.63013698626</v>
      </c>
      <c r="P22" s="16"/>
      <c r="R22" s="31">
        <f t="shared" si="0"/>
        <v>821248.63013698626</v>
      </c>
      <c r="S22" s="35">
        <f t="shared" ref="S22:S34" si="11">+R22</f>
        <v>821248.63013698626</v>
      </c>
      <c r="T22" s="28">
        <f t="shared" si="1"/>
        <v>183</v>
      </c>
      <c r="U22" s="28">
        <f t="shared" si="2"/>
        <v>775899.98911819002</v>
      </c>
      <c r="V22" s="29">
        <f t="shared" si="5"/>
        <v>8.7725127206582076</v>
      </c>
    </row>
    <row r="23" spans="1:22" x14ac:dyDescent="0.25">
      <c r="A23" s="69"/>
      <c r="B23" s="19"/>
      <c r="C23" s="23">
        <f t="shared" ref="C23:C34" si="12">+G23-G22</f>
        <v>90</v>
      </c>
      <c r="D23" s="5"/>
      <c r="G23" s="66">
        <f t="shared" si="6"/>
        <v>46087</v>
      </c>
      <c r="H23" s="90">
        <f t="shared" si="7"/>
        <v>90</v>
      </c>
      <c r="I23" s="97">
        <v>0.09</v>
      </c>
      <c r="J23" s="91">
        <f t="shared" si="3"/>
        <v>1575000</v>
      </c>
      <c r="K23" s="91">
        <f t="shared" si="4"/>
        <v>283931.50684931508</v>
      </c>
      <c r="L23" s="91">
        <f t="shared" si="8"/>
        <v>1858931.506849315</v>
      </c>
      <c r="M23" s="91">
        <f t="shared" si="9"/>
        <v>14875000</v>
      </c>
      <c r="N23" s="94">
        <f t="shared" si="10"/>
        <v>1858931.506849315</v>
      </c>
      <c r="P23" s="16"/>
      <c r="R23" s="31">
        <f t="shared" si="0"/>
        <v>1858931.506849315</v>
      </c>
      <c r="S23" s="35">
        <f t="shared" si="11"/>
        <v>1858931.506849315</v>
      </c>
      <c r="T23" s="28">
        <f t="shared" si="1"/>
        <v>273</v>
      </c>
      <c r="U23" s="28">
        <f t="shared" si="2"/>
        <v>1707899.1560585666</v>
      </c>
      <c r="V23" s="29">
        <f t="shared" si="5"/>
        <v>28.806602648324613</v>
      </c>
    </row>
    <row r="24" spans="1:22" x14ac:dyDescent="0.25">
      <c r="A24" s="69"/>
      <c r="B24" s="19"/>
      <c r="C24" s="23">
        <f t="shared" si="12"/>
        <v>92</v>
      </c>
      <c r="D24" s="5"/>
      <c r="G24" s="66">
        <f t="shared" si="6"/>
        <v>46179</v>
      </c>
      <c r="H24" s="90">
        <f t="shared" si="7"/>
        <v>92</v>
      </c>
      <c r="I24" s="97">
        <v>0.03</v>
      </c>
      <c r="J24" s="91">
        <f t="shared" si="3"/>
        <v>525000</v>
      </c>
      <c r="K24" s="91">
        <f t="shared" si="4"/>
        <v>262452.05479452055</v>
      </c>
      <c r="L24" s="91">
        <f t="shared" si="8"/>
        <v>787452.05479452061</v>
      </c>
      <c r="M24" s="91">
        <f t="shared" si="9"/>
        <v>14350000</v>
      </c>
      <c r="N24" s="94">
        <f t="shared" si="10"/>
        <v>787452.05479452061</v>
      </c>
      <c r="P24" s="16"/>
      <c r="R24" s="31">
        <f t="shared" si="0"/>
        <v>787452.05479452061</v>
      </c>
      <c r="S24" s="35">
        <f t="shared" si="11"/>
        <v>787452.05479452061</v>
      </c>
      <c r="T24" s="28">
        <f t="shared" si="1"/>
        <v>365</v>
      </c>
      <c r="U24" s="28">
        <f t="shared" si="2"/>
        <v>703106.47695709462</v>
      </c>
      <c r="V24" s="29">
        <f t="shared" si="5"/>
        <v>15.855543527802888</v>
      </c>
    </row>
    <row r="25" spans="1:22" x14ac:dyDescent="0.25">
      <c r="A25" s="69"/>
      <c r="B25" s="19"/>
      <c r="C25" s="23">
        <f t="shared" si="12"/>
        <v>92</v>
      </c>
      <c r="D25" s="5"/>
      <c r="G25" s="66">
        <f t="shared" si="6"/>
        <v>46271</v>
      </c>
      <c r="H25" s="90">
        <f t="shared" si="7"/>
        <v>92</v>
      </c>
      <c r="I25" s="97">
        <v>0.03</v>
      </c>
      <c r="J25" s="91">
        <f t="shared" si="3"/>
        <v>525000</v>
      </c>
      <c r="K25" s="91">
        <f t="shared" si="4"/>
        <v>253189.04109589042</v>
      </c>
      <c r="L25" s="91">
        <f t="shared" si="8"/>
        <v>778189.04109589045</v>
      </c>
      <c r="M25" s="91">
        <f t="shared" si="9"/>
        <v>13825000</v>
      </c>
      <c r="N25" s="94">
        <f t="shared" si="10"/>
        <v>778189.04109589045</v>
      </c>
      <c r="P25" s="16"/>
      <c r="R25" s="31">
        <f t="shared" si="0"/>
        <v>778189.04109589045</v>
      </c>
      <c r="S25" s="35">
        <f t="shared" si="11"/>
        <v>778189.04109589045</v>
      </c>
      <c r="T25" s="28">
        <f t="shared" si="1"/>
        <v>457</v>
      </c>
      <c r="U25" s="28">
        <f t="shared" si="2"/>
        <v>675274.31491511513</v>
      </c>
      <c r="V25" s="29">
        <f t="shared" si="5"/>
        <v>19.066176197833311</v>
      </c>
    </row>
    <row r="26" spans="1:22" x14ac:dyDescent="0.25">
      <c r="A26" s="69"/>
      <c r="B26" s="19"/>
      <c r="C26" s="23">
        <f t="shared" si="12"/>
        <v>91</v>
      </c>
      <c r="D26" s="5"/>
      <c r="G26" s="66">
        <f t="shared" si="6"/>
        <v>46362</v>
      </c>
      <c r="H26" s="90">
        <f t="shared" si="7"/>
        <v>91</v>
      </c>
      <c r="I26" s="97">
        <v>0.14499999999999999</v>
      </c>
      <c r="J26" s="91">
        <f t="shared" si="3"/>
        <v>2537500</v>
      </c>
      <c r="K26" s="91">
        <f t="shared" si="4"/>
        <v>241274.65753424662</v>
      </c>
      <c r="L26" s="91">
        <f t="shared" si="8"/>
        <v>2778774.6575342468</v>
      </c>
      <c r="M26" s="91">
        <f t="shared" si="9"/>
        <v>11287500</v>
      </c>
      <c r="N26" s="94">
        <f t="shared" si="10"/>
        <v>2778774.6575342468</v>
      </c>
      <c r="P26" s="16"/>
      <c r="R26" s="31">
        <f t="shared" si="0"/>
        <v>2778774.6575342468</v>
      </c>
      <c r="S26" s="35">
        <f t="shared" si="11"/>
        <v>2778774.6575342468</v>
      </c>
      <c r="T26" s="28">
        <f t="shared" si="1"/>
        <v>548</v>
      </c>
      <c r="U26" s="28">
        <f t="shared" si="2"/>
        <v>2344128.3922840925</v>
      </c>
      <c r="V26" s="29">
        <f t="shared" si="5"/>
        <v>79.365019032066613</v>
      </c>
    </row>
    <row r="27" spans="1:22" x14ac:dyDescent="0.25">
      <c r="A27" s="69"/>
      <c r="B27" s="19"/>
      <c r="C27" s="23">
        <f t="shared" si="12"/>
        <v>90</v>
      </c>
      <c r="D27" s="5"/>
      <c r="G27" s="66">
        <f t="shared" si="6"/>
        <v>46452</v>
      </c>
      <c r="H27" s="90">
        <f t="shared" si="7"/>
        <v>90</v>
      </c>
      <c r="I27" s="97">
        <v>0.14499999999999999</v>
      </c>
      <c r="J27" s="91">
        <f t="shared" si="3"/>
        <v>2537500</v>
      </c>
      <c r="K27" s="91">
        <f t="shared" si="4"/>
        <v>194825.34246575346</v>
      </c>
      <c r="L27" s="91">
        <f t="shared" si="8"/>
        <v>2732325.3424657537</v>
      </c>
      <c r="M27" s="91">
        <f t="shared" si="9"/>
        <v>8750000</v>
      </c>
      <c r="N27" s="94">
        <f t="shared" si="10"/>
        <v>2732325.3424657537</v>
      </c>
      <c r="P27" s="16"/>
      <c r="R27" s="31">
        <f t="shared" si="0"/>
        <v>2732325.3424657537</v>
      </c>
      <c r="S27" s="35">
        <f t="shared" si="11"/>
        <v>2732325.3424657537</v>
      </c>
      <c r="T27" s="28">
        <f t="shared" si="1"/>
        <v>638</v>
      </c>
      <c r="U27" s="28">
        <f t="shared" si="2"/>
        <v>2241445.7080970118</v>
      </c>
      <c r="V27" s="29">
        <f t="shared" si="5"/>
        <v>88.351936694090568</v>
      </c>
    </row>
    <row r="28" spans="1:22" x14ac:dyDescent="0.25">
      <c r="A28" s="69"/>
      <c r="B28" s="19"/>
      <c r="C28" s="23">
        <f t="shared" si="12"/>
        <v>92</v>
      </c>
      <c r="D28" s="5"/>
      <c r="G28" s="66">
        <f t="shared" si="6"/>
        <v>46544</v>
      </c>
      <c r="H28" s="90">
        <f t="shared" si="7"/>
        <v>92</v>
      </c>
      <c r="I28" s="97">
        <v>0.14000000000000001</v>
      </c>
      <c r="J28" s="91">
        <f t="shared" si="3"/>
        <v>2450000.0000000005</v>
      </c>
      <c r="K28" s="91">
        <f t="shared" si="4"/>
        <v>154383.56164383565</v>
      </c>
      <c r="L28" s="91">
        <f t="shared" si="8"/>
        <v>2604383.5616438361</v>
      </c>
      <c r="M28" s="91">
        <f t="shared" si="9"/>
        <v>6300000</v>
      </c>
      <c r="N28" s="94">
        <f t="shared" si="10"/>
        <v>2604383.5616438361</v>
      </c>
      <c r="P28" s="16"/>
      <c r="R28" s="31">
        <f t="shared" si="0"/>
        <v>2604383.5616438361</v>
      </c>
      <c r="S28" s="35">
        <f t="shared" si="11"/>
        <v>2604383.5616438361</v>
      </c>
      <c r="T28" s="28">
        <f t="shared" si="1"/>
        <v>730</v>
      </c>
      <c r="U28" s="28">
        <f t="shared" si="2"/>
        <v>2076342.0606522043</v>
      </c>
      <c r="V28" s="29">
        <f t="shared" si="5"/>
        <v>93.645935573675345</v>
      </c>
    </row>
    <row r="29" spans="1:22" x14ac:dyDescent="0.25">
      <c r="A29" s="69"/>
      <c r="B29" s="19"/>
      <c r="C29" s="23">
        <f t="shared" si="12"/>
        <v>92</v>
      </c>
      <c r="D29" s="5"/>
      <c r="G29" s="66">
        <f t="shared" si="6"/>
        <v>46636</v>
      </c>
      <c r="H29" s="90">
        <f t="shared" si="7"/>
        <v>92</v>
      </c>
      <c r="I29" s="97">
        <v>7.0000000000000007E-2</v>
      </c>
      <c r="J29" s="91">
        <f t="shared" si="3"/>
        <v>1225000.0000000002</v>
      </c>
      <c r="K29" s="91">
        <f t="shared" si="4"/>
        <v>111156.16438356167</v>
      </c>
      <c r="L29" s="91">
        <f t="shared" si="8"/>
        <v>1336156.1643835618</v>
      </c>
      <c r="M29" s="91">
        <f t="shared" si="9"/>
        <v>5075000</v>
      </c>
      <c r="N29" s="94">
        <f t="shared" si="10"/>
        <v>1336156.1643835618</v>
      </c>
      <c r="P29" s="16"/>
      <c r="R29" s="31">
        <f t="shared" si="0"/>
        <v>1336156.1643835618</v>
      </c>
      <c r="S29" s="35">
        <f t="shared" si="11"/>
        <v>1336156.1643835618</v>
      </c>
      <c r="T29" s="28">
        <f t="shared" si="1"/>
        <v>822</v>
      </c>
      <c r="U29" s="28">
        <f t="shared" si="2"/>
        <v>1035259.7232929475</v>
      </c>
      <c r="V29" s="29">
        <f t="shared" si="5"/>
        <v>52.576092618939931</v>
      </c>
    </row>
    <row r="30" spans="1:22" x14ac:dyDescent="0.25">
      <c r="A30" s="69"/>
      <c r="B30" s="19"/>
      <c r="C30" s="23">
        <f t="shared" si="12"/>
        <v>91</v>
      </c>
      <c r="D30" s="5"/>
      <c r="G30" s="66">
        <f t="shared" si="6"/>
        <v>46727</v>
      </c>
      <c r="H30" s="90">
        <f t="shared" si="7"/>
        <v>91</v>
      </c>
      <c r="I30" s="97">
        <v>0.05</v>
      </c>
      <c r="J30" s="91">
        <f t="shared" si="3"/>
        <v>875000</v>
      </c>
      <c r="K30" s="91">
        <f t="shared" si="4"/>
        <v>88569.178082191793</v>
      </c>
      <c r="L30" s="91">
        <f t="shared" si="8"/>
        <v>963569.17808219185</v>
      </c>
      <c r="M30" s="91">
        <f t="shared" si="9"/>
        <v>4200000</v>
      </c>
      <c r="N30" s="94">
        <f t="shared" si="10"/>
        <v>963569.17808219185</v>
      </c>
      <c r="P30" s="16"/>
      <c r="R30" s="31">
        <f t="shared" si="0"/>
        <v>963569.17808219185</v>
      </c>
      <c r="S30" s="35">
        <f t="shared" si="11"/>
        <v>963569.17808219185</v>
      </c>
      <c r="T30" s="28">
        <f t="shared" si="1"/>
        <v>913</v>
      </c>
      <c r="U30" s="28">
        <f t="shared" si="2"/>
        <v>725784.92497652746</v>
      </c>
      <c r="V30" s="29">
        <f t="shared" si="5"/>
        <v>40.939816528887015</v>
      </c>
    </row>
    <row r="31" spans="1:22" x14ac:dyDescent="0.25">
      <c r="A31" s="69"/>
      <c r="B31" s="19"/>
      <c r="C31" s="23">
        <f t="shared" si="12"/>
        <v>91</v>
      </c>
      <c r="D31" s="5"/>
      <c r="G31" s="66">
        <f t="shared" si="6"/>
        <v>46818</v>
      </c>
      <c r="H31" s="90">
        <f t="shared" si="7"/>
        <v>91</v>
      </c>
      <c r="I31" s="97">
        <v>0.08</v>
      </c>
      <c r="J31" s="91">
        <f t="shared" si="3"/>
        <v>1400000</v>
      </c>
      <c r="K31" s="91">
        <f t="shared" si="4"/>
        <v>73298.630136986292</v>
      </c>
      <c r="L31" s="91">
        <f t="shared" si="8"/>
        <v>1473298.6301369863</v>
      </c>
      <c r="M31" s="91">
        <f t="shared" si="9"/>
        <v>2800000</v>
      </c>
      <c r="N31" s="94">
        <f t="shared" si="10"/>
        <v>1473298.6301369863</v>
      </c>
      <c r="P31" s="16"/>
      <c r="R31" s="31">
        <f t="shared" si="0"/>
        <v>1473298.6301369863</v>
      </c>
      <c r="S31" s="35">
        <f t="shared" si="11"/>
        <v>1473298.6301369863</v>
      </c>
      <c r="T31" s="28">
        <f t="shared" si="1"/>
        <v>1004</v>
      </c>
      <c r="U31" s="28">
        <f t="shared" si="2"/>
        <v>1078819.4654999466</v>
      </c>
      <c r="V31" s="29">
        <f t="shared" si="5"/>
        <v>66.919033194592117</v>
      </c>
    </row>
    <row r="32" spans="1:22" x14ac:dyDescent="0.25">
      <c r="A32" s="69"/>
      <c r="B32" s="19"/>
      <c r="C32" s="23">
        <f t="shared" si="12"/>
        <v>92</v>
      </c>
      <c r="D32" s="5"/>
      <c r="G32" s="66">
        <f t="shared" si="6"/>
        <v>46910</v>
      </c>
      <c r="H32" s="90">
        <f t="shared" si="7"/>
        <v>92</v>
      </c>
      <c r="I32" s="97">
        <v>0.08</v>
      </c>
      <c r="J32" s="91">
        <f t="shared" si="3"/>
        <v>1400000</v>
      </c>
      <c r="K32" s="91">
        <f t="shared" si="4"/>
        <v>49402.739726027408</v>
      </c>
      <c r="L32" s="91">
        <f t="shared" si="8"/>
        <v>1449402.7397260275</v>
      </c>
      <c r="M32" s="91">
        <f t="shared" si="9"/>
        <v>1400000</v>
      </c>
      <c r="N32" s="94">
        <f t="shared" si="10"/>
        <v>1449402.7397260275</v>
      </c>
      <c r="P32" s="16"/>
      <c r="R32" s="31">
        <f t="shared" si="0"/>
        <v>1449402.7397260275</v>
      </c>
      <c r="S32" s="35">
        <f t="shared" si="11"/>
        <v>1449402.7397260275</v>
      </c>
      <c r="T32" s="28">
        <f t="shared" si="1"/>
        <v>1096</v>
      </c>
      <c r="U32" s="28">
        <f t="shared" si="2"/>
        <v>1031442.9439939763</v>
      </c>
      <c r="V32" s="29">
        <f t="shared" si="5"/>
        <v>69.84300787450367</v>
      </c>
    </row>
    <row r="33" spans="1:22" x14ac:dyDescent="0.25">
      <c r="A33" s="69"/>
      <c r="B33" s="19"/>
      <c r="C33" s="23">
        <f t="shared" si="12"/>
        <v>92</v>
      </c>
      <c r="D33" s="5"/>
      <c r="G33" s="66">
        <f t="shared" si="6"/>
        <v>47002</v>
      </c>
      <c r="H33" s="90">
        <f t="shared" si="7"/>
        <v>92</v>
      </c>
      <c r="I33" s="97">
        <v>0.04</v>
      </c>
      <c r="J33" s="91">
        <f t="shared" si="3"/>
        <v>700000</v>
      </c>
      <c r="K33" s="91">
        <f t="shared" si="4"/>
        <v>24701.369863013704</v>
      </c>
      <c r="L33" s="91">
        <f t="shared" si="8"/>
        <v>724701.36986301374</v>
      </c>
      <c r="M33" s="91">
        <f t="shared" si="9"/>
        <v>700000</v>
      </c>
      <c r="N33" s="94">
        <f t="shared" si="10"/>
        <v>724701.36986301374</v>
      </c>
      <c r="P33" s="16"/>
      <c r="R33" s="31">
        <f t="shared" si="0"/>
        <v>724701.36986301374</v>
      </c>
      <c r="S33" s="35">
        <f t="shared" si="11"/>
        <v>724701.36986301374</v>
      </c>
      <c r="T33" s="28">
        <f t="shared" si="1"/>
        <v>1188</v>
      </c>
      <c r="U33" s="28">
        <f t="shared" si="2"/>
        <v>501202.6470265736</v>
      </c>
      <c r="V33" s="29">
        <f t="shared" si="5"/>
        <v>36.78721984833274</v>
      </c>
    </row>
    <row r="34" spans="1:22" ht="15.75" thickBot="1" x14ac:dyDescent="0.3">
      <c r="A34" s="69"/>
      <c r="B34" s="19"/>
      <c r="C34" s="23">
        <f t="shared" si="12"/>
        <v>91</v>
      </c>
      <c r="D34" s="5"/>
      <c r="G34" s="66">
        <f t="shared" si="6"/>
        <v>47093</v>
      </c>
      <c r="H34" s="90">
        <f t="shared" si="7"/>
        <v>91</v>
      </c>
      <c r="I34" s="97">
        <v>0.04</v>
      </c>
      <c r="J34" s="91">
        <f t="shared" si="3"/>
        <v>700000</v>
      </c>
      <c r="K34" s="91">
        <f t="shared" si="4"/>
        <v>12216.438356164386</v>
      </c>
      <c r="L34" s="91">
        <f t="shared" si="8"/>
        <v>712216.43835616438</v>
      </c>
      <c r="M34" s="91">
        <f t="shared" si="9"/>
        <v>0</v>
      </c>
      <c r="N34" s="94">
        <f t="shared" si="10"/>
        <v>712216.43835616438</v>
      </c>
      <c r="P34" s="16"/>
      <c r="R34" s="31">
        <f t="shared" si="0"/>
        <v>712216.43835616438</v>
      </c>
      <c r="S34" s="35">
        <f t="shared" si="11"/>
        <v>712216.43835616438</v>
      </c>
      <c r="T34" s="28">
        <f t="shared" si="1"/>
        <v>1279</v>
      </c>
      <c r="U34" s="28">
        <f t="shared" si="2"/>
        <v>478849.69173449464</v>
      </c>
      <c r="V34" s="29">
        <f t="shared" si="5"/>
        <v>37.838762781595193</v>
      </c>
    </row>
    <row r="35" spans="1:22" ht="15.75" thickBot="1" x14ac:dyDescent="0.3">
      <c r="A35" s="69"/>
      <c r="B35" s="19"/>
      <c r="C35" s="23"/>
      <c r="D35" s="5"/>
      <c r="G35" s="67" t="s">
        <v>0</v>
      </c>
      <c r="H35" s="89"/>
      <c r="I35" s="80">
        <f>+SUM(I21:I34)</f>
        <v>1</v>
      </c>
      <c r="J35" s="95">
        <f>+SUM(J21:J34)</f>
        <v>17500000</v>
      </c>
      <c r="K35" s="95">
        <f>+SUM(K21:K34)</f>
        <v>2354416.4383561644</v>
      </c>
      <c r="L35" s="95">
        <f>+SUM(L21:L34)</f>
        <v>19854416.438356169</v>
      </c>
      <c r="M35" s="95"/>
      <c r="N35" s="96">
        <f>+SUM(N20:N34)</f>
        <v>3668666.4383561634</v>
      </c>
      <c r="P35" s="16"/>
      <c r="R35" s="38"/>
      <c r="S35" s="42">
        <f>+XIRR(S20:S34,G20:G34)</f>
        <v>0.11996131539344784</v>
      </c>
      <c r="T35" s="39"/>
      <c r="U35" s="40">
        <f>SUM(U20:U34)</f>
        <v>16185750.027384993</v>
      </c>
      <c r="V35" s="41"/>
    </row>
    <row r="36" spans="1:22" x14ac:dyDescent="0.25">
      <c r="A36" s="71"/>
      <c r="B36" s="19"/>
      <c r="C36" s="23"/>
      <c r="D36" s="5"/>
      <c r="O36" s="19"/>
      <c r="P36" s="21"/>
      <c r="R36" s="25"/>
      <c r="S36" s="25"/>
    </row>
    <row r="37" spans="1:22" x14ac:dyDescent="0.25">
      <c r="A37" s="69"/>
      <c r="B37" s="19"/>
      <c r="C37" s="26"/>
      <c r="D37" s="5"/>
      <c r="R37" s="25"/>
      <c r="U37" s="24"/>
    </row>
    <row r="38" spans="1:22" ht="15" customHeight="1" x14ac:dyDescent="0.25">
      <c r="A38" s="22"/>
      <c r="B38" s="70"/>
      <c r="D38" s="70"/>
      <c r="G38" s="98" t="s">
        <v>31</v>
      </c>
      <c r="H38" s="98"/>
      <c r="I38" s="98"/>
      <c r="J38" s="98"/>
      <c r="K38" s="98"/>
      <c r="L38" s="98"/>
      <c r="M38" s="98"/>
      <c r="N38" s="98"/>
    </row>
    <row r="39" spans="1:22" x14ac:dyDescent="0.25">
      <c r="A39" s="22"/>
      <c r="G39" s="98"/>
      <c r="H39" s="98"/>
      <c r="I39" s="98"/>
      <c r="J39" s="98"/>
      <c r="K39" s="98"/>
      <c r="L39" s="98"/>
      <c r="M39" s="98"/>
      <c r="N39" s="98"/>
    </row>
    <row r="40" spans="1:22" ht="15" customHeight="1" x14ac:dyDescent="0.25">
      <c r="G40" s="98"/>
      <c r="H40" s="98"/>
      <c r="I40" s="98"/>
      <c r="J40" s="98"/>
      <c r="K40" s="98"/>
      <c r="L40" s="98"/>
      <c r="M40" s="98"/>
      <c r="N40" s="98"/>
    </row>
  </sheetData>
  <sheetProtection algorithmName="SHA-512" hashValue="+Cl7ToZp8KPy9p58tIrsjfmPydqBm22KZnpczePwx/ghom5Pf7UCumlwIQnyW/64GvapodkyCUWk4l3Gb4sgZw==" saltValue="QDsm53YJrZTZrWwQmorRYQ==" spinCount="100000" sheet="1" selectLockedCells="1"/>
  <mergeCells count="5">
    <mergeCell ref="G38:N40"/>
    <mergeCell ref="A18:A19"/>
    <mergeCell ref="B18:D18"/>
    <mergeCell ref="D19:D20"/>
    <mergeCell ref="G18:N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Allaria Office</cp:lastModifiedBy>
  <dcterms:created xsi:type="dcterms:W3CDTF">2016-07-04T13:01:59Z</dcterms:created>
  <dcterms:modified xsi:type="dcterms:W3CDTF">2025-06-03T12:42:15Z</dcterms:modified>
</cp:coreProperties>
</file>