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ras Clases 33 y 3 reapertura\nuevo\"/>
    </mc:Choice>
  </mc:AlternateContent>
  <xr:revisionPtr revIDLastSave="0" documentId="13_ncr:1_{5A73A832-FF76-4045-89CB-791D15CA5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e 33(Reapertura)" sheetId="14" r:id="rId1"/>
    <sheet name="Clase 3(Reapertura)" sheetId="16" r:id="rId2"/>
  </sheets>
  <definedNames>
    <definedName name="_xlnm.Print_Area" localSheetId="1">'Clase 3(Reapertura)'!$A$4:$P$22</definedName>
    <definedName name="_xlnm.Print_Area" localSheetId="0">'Clase 33(Reapertura)'!$A$4:$P$22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6" l="1"/>
  <c r="J17" i="16"/>
  <c r="J28" i="16" s="1"/>
  <c r="D16" i="16"/>
  <c r="B17" i="16"/>
  <c r="C17" i="16"/>
  <c r="G16" i="16"/>
  <c r="L16" i="16" s="1"/>
  <c r="F16" i="16"/>
  <c r="C16" i="16"/>
  <c r="J17" i="14"/>
  <c r="F16" i="14"/>
  <c r="D16" i="14" s="1"/>
  <c r="C17" i="14"/>
  <c r="C16" i="14"/>
  <c r="G16" i="14"/>
  <c r="K16" i="14" s="1"/>
  <c r="K16" i="16" l="1"/>
  <c r="G17" i="16" s="1"/>
  <c r="I17" i="16" s="1"/>
  <c r="L17" i="16" s="1"/>
  <c r="L9" i="16" s="1"/>
  <c r="L10" i="16" s="1"/>
  <c r="L16" i="14"/>
  <c r="D17" i="16"/>
  <c r="F17" i="16" s="1"/>
  <c r="K17" i="16" l="1"/>
  <c r="I28" i="16"/>
  <c r="N17" i="16" l="1"/>
  <c r="L28" i="16"/>
  <c r="N28" i="16" l="1"/>
  <c r="Q17" i="16" s="1"/>
  <c r="L11" i="16" s="1"/>
  <c r="B17" i="14" l="1"/>
  <c r="H17" i="14" s="1"/>
  <c r="J28" i="14"/>
  <c r="D17" i="14" l="1"/>
  <c r="F17" i="14" s="1"/>
  <c r="G17" i="14"/>
  <c r="I17" i="14" l="1"/>
  <c r="L17" i="14" s="1"/>
  <c r="L9" i="14" s="1"/>
  <c r="L10" i="14" s="1"/>
  <c r="K17" i="14"/>
  <c r="I28" i="14" l="1"/>
  <c r="N17" i="14" l="1"/>
  <c r="L28" i="14"/>
  <c r="N28" i="14" l="1"/>
  <c r="Q17" i="14" l="1"/>
  <c r="L11" i="14" s="1"/>
</calcChain>
</file>

<file path=xl/sharedStrings.xml><?xml version="1.0" encoding="utf-8"?>
<sst xmlns="http://schemas.openxmlformats.org/spreadsheetml/2006/main" count="46" uniqueCount="25">
  <si>
    <t>TIR</t>
  </si>
  <si>
    <t>VA Flujo</t>
  </si>
  <si>
    <t>Duration (meses)</t>
  </si>
  <si>
    <t>Fecha de Pago</t>
  </si>
  <si>
    <t>Días Intereses</t>
  </si>
  <si>
    <t>Días Flujo</t>
  </si>
  <si>
    <t>Tasa de cupon</t>
  </si>
  <si>
    <t>Duration</t>
  </si>
  <si>
    <t>Totales</t>
  </si>
  <si>
    <t>Capital (AR$)</t>
  </si>
  <si>
    <t>Intereses (AR$)</t>
  </si>
  <si>
    <t>Amortización (AR$)</t>
  </si>
  <si>
    <t>Capital Residual (AR$)</t>
  </si>
  <si>
    <t>Flujo (AR$)</t>
  </si>
  <si>
    <t>TNA</t>
  </si>
  <si>
    <t>Letras de Tesorería de la Provincia del Chaco Clase 3</t>
  </si>
  <si>
    <t>Pesos - 161 días</t>
  </si>
  <si>
    <t>Clase 3 Reapertura</t>
  </si>
  <si>
    <t>Clase 33 Reapertura</t>
  </si>
  <si>
    <t>Pesos - 98 días</t>
  </si>
  <si>
    <t>Fecha de Emisión Original</t>
  </si>
  <si>
    <t>Cupón Tasa Fija (TNA)</t>
  </si>
  <si>
    <t>Fecha de Reapertura</t>
  </si>
  <si>
    <t xml:space="preserve">VN </t>
  </si>
  <si>
    <t xml:space="preserve">Precio de Emisión | A licitar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</si>
</sst>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5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1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1" fillId="0" borderId="0" xfId="0" applyNumberFormat="1" applyFont="1" applyAlignment="1">
      <alignment horizontal="right" indent="1"/>
    </xf>
    <xf numFmtId="167" fontId="11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1" fillId="0" borderId="0" xfId="2" applyNumberFormat="1" applyFont="1" applyAlignment="1" applyProtection="1"/>
    <xf numFmtId="1" fontId="11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70" fontId="7" fillId="3" borderId="2" xfId="5" applyNumberFormat="1" applyFont="1" applyFill="1" applyBorder="1" applyProtection="1">
      <protection locked="0" hidden="1"/>
    </xf>
    <xf numFmtId="14" fontId="7" fillId="2" borderId="2" xfId="4" applyNumberFormat="1" applyFont="1" applyFill="1" applyBorder="1" applyProtection="1">
      <protection hidden="1"/>
    </xf>
    <xf numFmtId="165" fontId="9" fillId="5" borderId="0" xfId="5" applyFont="1" applyFill="1" applyBorder="1" applyProtection="1">
      <protection hidden="1"/>
    </xf>
    <xf numFmtId="165" fontId="7" fillId="2" borderId="2" xfId="5" applyFont="1" applyFill="1" applyBorder="1" applyProtection="1">
      <protection hidden="1"/>
    </xf>
    <xf numFmtId="0" fontId="5" fillId="0" borderId="0" xfId="4" applyFont="1"/>
    <xf numFmtId="0" fontId="10" fillId="5" borderId="0" xfId="4" applyFont="1" applyFill="1" applyAlignment="1" applyProtection="1">
      <alignment horizontal="center"/>
      <protection hidden="1"/>
    </xf>
    <xf numFmtId="0" fontId="11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1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2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1" fillId="0" borderId="0" xfId="4" applyNumberFormat="1" applyFont="1"/>
    <xf numFmtId="167" fontId="5" fillId="0" borderId="0" xfId="4" applyNumberFormat="1" applyFont="1" applyProtection="1">
      <protection hidden="1"/>
    </xf>
    <xf numFmtId="169" fontId="11" fillId="5" borderId="0" xfId="6" applyNumberFormat="1" applyFont="1" applyFill="1" applyBorder="1" applyAlignment="1" applyProtection="1">
      <alignment horizontal="right" indent="1"/>
      <protection hidden="1"/>
    </xf>
    <xf numFmtId="2" fontId="11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8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8" fillId="6" borderId="9" xfId="3" applyFont="1" applyFill="1" applyBorder="1" applyAlignment="1" applyProtection="1">
      <alignment horizontal="center" vertical="center" wrapText="1"/>
      <protection hidden="1"/>
    </xf>
    <xf numFmtId="0" fontId="8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8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8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8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Protection="1">
      <protection hidden="1"/>
    </xf>
    <xf numFmtId="166" fontId="8" fillId="4" borderId="2" xfId="0" applyNumberFormat="1" applyFont="1" applyFill="1" applyBorder="1" applyAlignment="1" applyProtection="1">
      <alignment horizontal="left"/>
      <protection hidden="1"/>
    </xf>
    <xf numFmtId="166" fontId="8" fillId="4" borderId="12" xfId="0" applyNumberFormat="1" applyFont="1" applyFill="1" applyBorder="1" applyAlignment="1" applyProtection="1">
      <alignment vertical="center"/>
      <protection hidden="1"/>
    </xf>
    <xf numFmtId="10" fontId="7" fillId="2" borderId="12" xfId="1" applyNumberFormat="1" applyFont="1" applyFill="1" applyBorder="1" applyAlignment="1" applyProtection="1">
      <alignment vertical="center"/>
      <protection hidden="1"/>
    </xf>
    <xf numFmtId="166" fontId="8" fillId="4" borderId="0" xfId="0" applyNumberFormat="1" applyFont="1" applyFill="1" applyAlignment="1" applyProtection="1">
      <alignment horizontal="left"/>
      <protection hidden="1"/>
    </xf>
    <xf numFmtId="10" fontId="7" fillId="3" borderId="12" xfId="1" applyNumberFormat="1" applyFont="1" applyFill="1" applyBorder="1" applyAlignment="1" applyProtection="1">
      <alignment vertical="center"/>
      <protection locked="0" hidden="1"/>
    </xf>
    <xf numFmtId="175" fontId="7" fillId="3" borderId="12" xfId="1" applyNumberFormat="1" applyFont="1" applyFill="1" applyBorder="1" applyAlignment="1" applyProtection="1">
      <alignment vertical="center"/>
      <protection locked="0" hidden="1"/>
    </xf>
    <xf numFmtId="0" fontId="8" fillId="4" borderId="3" xfId="0" applyFont="1" applyFill="1" applyBorder="1" applyAlignment="1" applyProtection="1">
      <alignment horizontal="right" indent="1"/>
      <protection hidden="1"/>
    </xf>
    <xf numFmtId="0" fontId="8" fillId="6" borderId="6" xfId="3" applyFont="1" applyFill="1" applyBorder="1" applyAlignment="1" applyProtection="1">
      <alignment horizontal="center" vertical="center" wrapText="1"/>
      <protection hidden="1"/>
    </xf>
    <xf numFmtId="0" fontId="8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FAD1C-BC15-46AA-99F8-048778EE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D5968-77C0-4206-A3A6-245B6EEC3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381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CAA470-A7CA-4FF6-91F4-49633F828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208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89CC76-548C-4BB4-BE08-0B48DC8BE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0556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3A6-4713-4959-A91A-C3FCDF718302}">
  <sheetPr>
    <pageSetUpPr fitToPage="1"/>
  </sheetPr>
  <dimension ref="A1:CW57"/>
  <sheetViews>
    <sheetView showGridLines="0" tabSelected="1" zoomScale="80" zoomScaleNormal="80" workbookViewId="0">
      <selection activeCell="G13" sqref="G13"/>
    </sheetView>
  </sheetViews>
  <sheetFormatPr baseColWidth="10" defaultColWidth="11.42578125" defaultRowHeight="15" customHeight="1" zeroHeight="1" outlineLevelCol="1"/>
  <cols>
    <col min="1" max="1" width="17.140625" style="20" customWidth="1"/>
    <col min="2" max="2" width="34.42578125" style="20" hidden="1" customWidth="1" outlineLevel="1"/>
    <col min="3" max="3" width="20.85546875" style="20" hidden="1" customWidth="1" outlineLevel="1"/>
    <col min="4" max="4" width="34.42578125" style="20" hidden="1" customWidth="1" outlineLevel="1"/>
    <col min="5" max="5" width="11.140625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22.7109375" style="20" hidden="1" customWidth="1" outlineLevel="1"/>
    <col min="15" max="15" width="14.42578125" style="20" hidden="1" customWidth="1" outlineLevel="1"/>
    <col min="16" max="16" width="13.5703125" style="20" hidden="1" customWidth="1" outlineLevel="1"/>
    <col min="17" max="17" width="32.71093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15</v>
      </c>
      <c r="G6" s="2" t="s">
        <v>18</v>
      </c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19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56" t="s">
        <v>20</v>
      </c>
      <c r="G9" s="23">
        <v>45611</v>
      </c>
      <c r="H9" s="16"/>
      <c r="I9" s="16"/>
      <c r="J9" s="62" t="s">
        <v>0</v>
      </c>
      <c r="K9" s="62"/>
      <c r="L9" s="3">
        <f>+XIRR(L16:L17,F16:F17)</f>
        <v>0.35933198332786564</v>
      </c>
      <c r="M9" s="4"/>
      <c r="N9" s="19"/>
      <c r="O9" s="19"/>
      <c r="P9" s="19"/>
      <c r="Q9" s="19"/>
      <c r="R9" s="19"/>
    </row>
    <row r="10" spans="2:18">
      <c r="E10" s="16"/>
      <c r="F10" s="57" t="s">
        <v>21</v>
      </c>
      <c r="G10" s="58">
        <v>0.41499999999999998</v>
      </c>
      <c r="H10" s="16"/>
      <c r="I10" s="16"/>
      <c r="J10" s="62" t="s">
        <v>14</v>
      </c>
      <c r="K10" s="62"/>
      <c r="L10" s="3">
        <f>+(((1+L9)^(+B12/365)-1)*(365/+B12))</f>
        <v>0.32000035189154591</v>
      </c>
      <c r="M10" s="24"/>
      <c r="N10" s="19"/>
      <c r="O10" s="19"/>
      <c r="P10" s="19"/>
      <c r="Q10" s="19"/>
      <c r="R10" s="19"/>
    </row>
    <row r="11" spans="2:18">
      <c r="E11" s="16"/>
      <c r="F11" s="56" t="s">
        <v>23</v>
      </c>
      <c r="G11" s="22">
        <v>10000</v>
      </c>
      <c r="H11" s="16"/>
      <c r="I11" s="16"/>
      <c r="J11" s="62" t="s">
        <v>2</v>
      </c>
      <c r="K11" s="62"/>
      <c r="L11" s="25">
        <f>+SUM(Q17)/(365/12)</f>
        <v>3.2219178082191782</v>
      </c>
      <c r="M11" s="24"/>
      <c r="N11" s="19"/>
      <c r="O11" s="19"/>
      <c r="P11" s="19"/>
      <c r="Q11" s="19"/>
      <c r="R11" s="19"/>
    </row>
    <row r="12" spans="2:18">
      <c r="B12" s="20">
        <v>98</v>
      </c>
      <c r="E12" s="16"/>
      <c r="F12" s="56" t="s">
        <v>22</v>
      </c>
      <c r="G12" s="23">
        <v>45695</v>
      </c>
      <c r="H12" s="29"/>
      <c r="I12" s="21"/>
      <c r="K12" s="55"/>
      <c r="M12" s="27"/>
      <c r="N12" s="28"/>
      <c r="O12" s="19"/>
      <c r="P12" s="19"/>
      <c r="Q12" s="19"/>
      <c r="R12" s="19"/>
    </row>
    <row r="13" spans="2:18">
      <c r="E13" s="16"/>
      <c r="F13" s="59" t="s">
        <v>24</v>
      </c>
      <c r="G13" s="60">
        <v>1.1114390000000001</v>
      </c>
      <c r="H13" s="16"/>
      <c r="I13" s="16"/>
      <c r="J13" s="16"/>
      <c r="K13" s="16"/>
      <c r="L13" s="16"/>
      <c r="M13" s="30"/>
      <c r="N13" s="28"/>
      <c r="O13" s="19"/>
      <c r="P13" s="19"/>
      <c r="Q13" s="19"/>
      <c r="R13" s="19"/>
    </row>
    <row r="14" spans="2:18" ht="15.75" thickBot="1">
      <c r="E14" s="16"/>
      <c r="F14"/>
      <c r="G14"/>
      <c r="H14" s="16"/>
      <c r="I14" s="16"/>
      <c r="J14" s="16"/>
      <c r="K14" s="16"/>
      <c r="L14" s="16"/>
      <c r="M14" s="30"/>
      <c r="N14" s="28"/>
      <c r="O14" s="19"/>
      <c r="P14" s="19"/>
      <c r="Q14" s="19"/>
      <c r="R14" s="19"/>
    </row>
    <row r="15" spans="2:18" s="32" customFormat="1" ht="28.5" customHeight="1" thickBot="1">
      <c r="B15" s="33"/>
      <c r="C15" s="33" t="s">
        <v>6</v>
      </c>
      <c r="D15" s="33"/>
      <c r="E15" s="34"/>
      <c r="F15" s="46" t="s">
        <v>3</v>
      </c>
      <c r="G15" s="49" t="s">
        <v>9</v>
      </c>
      <c r="H15" s="49" t="s">
        <v>4</v>
      </c>
      <c r="I15" s="49" t="s">
        <v>10</v>
      </c>
      <c r="J15" s="49" t="s">
        <v>11</v>
      </c>
      <c r="K15" s="49" t="s">
        <v>12</v>
      </c>
      <c r="L15" s="50" t="s">
        <v>13</v>
      </c>
      <c r="M15" s="35"/>
      <c r="N15" s="5" t="s">
        <v>1</v>
      </c>
      <c r="O15" s="5" t="s">
        <v>5</v>
      </c>
      <c r="P15" s="6"/>
      <c r="Q15" s="5" t="s">
        <v>7</v>
      </c>
      <c r="R15" s="36"/>
    </row>
    <row r="16" spans="2:18">
      <c r="B16" s="7">
        <v>45695</v>
      </c>
      <c r="C16" s="51">
        <f>+$G$10</f>
        <v>0.41499999999999998</v>
      </c>
      <c r="D16" s="7">
        <f>+F16</f>
        <v>45695</v>
      </c>
      <c r="E16" s="39"/>
      <c r="F16" s="8">
        <f>+B16</f>
        <v>45695</v>
      </c>
      <c r="G16" s="48">
        <f>+G11</f>
        <v>10000</v>
      </c>
      <c r="H16" s="44"/>
      <c r="I16" s="43"/>
      <c r="J16" s="43"/>
      <c r="K16" s="48">
        <f>+G16-J16</f>
        <v>10000</v>
      </c>
      <c r="L16" s="45">
        <f>-G16*$G$13</f>
        <v>-11114.390000000001</v>
      </c>
      <c r="M16" s="40"/>
      <c r="N16" s="9"/>
      <c r="O16" s="9"/>
      <c r="P16" s="1"/>
      <c r="Q16" s="1"/>
      <c r="R16" s="19"/>
    </row>
    <row r="17" spans="2:18" ht="15.75" thickBot="1">
      <c r="B17" s="7">
        <f>+B16+B12</f>
        <v>45793</v>
      </c>
      <c r="C17" s="51">
        <f>+$G$10</f>
        <v>0.41499999999999998</v>
      </c>
      <c r="D17" s="10">
        <f>+B17</f>
        <v>45793</v>
      </c>
      <c r="E17" s="39"/>
      <c r="F17" s="11">
        <f t="shared" ref="F17" si="0">+D17</f>
        <v>45793</v>
      </c>
      <c r="G17" s="48">
        <f>+K16</f>
        <v>10000</v>
      </c>
      <c r="H17" s="47">
        <f>+B17-G9</f>
        <v>182</v>
      </c>
      <c r="I17" s="43">
        <f>+G17*($G$10)*(H17)/365</f>
        <v>2069.3150684931506</v>
      </c>
      <c r="J17" s="43">
        <f>+G11</f>
        <v>10000</v>
      </c>
      <c r="K17" s="48">
        <f t="shared" ref="K17" si="1">+G17-J17</f>
        <v>0</v>
      </c>
      <c r="L17" s="45">
        <f>+I17+J17</f>
        <v>12069.31506849315</v>
      </c>
      <c r="M17" s="40"/>
      <c r="N17" s="12">
        <f>+L17/(1+$L$9)^((O17)/365)</f>
        <v>11114.389990705751</v>
      </c>
      <c r="O17" s="13">
        <v>98</v>
      </c>
      <c r="P17" s="1"/>
      <c r="Q17" s="14">
        <f>+(N17/$N$28)*O17</f>
        <v>98</v>
      </c>
      <c r="R17" s="19"/>
    </row>
    <row r="18" spans="2:18" ht="15.75" hidden="1" thickBot="1">
      <c r="B18" s="7"/>
      <c r="C18" s="51"/>
      <c r="D18" s="10"/>
      <c r="E18" s="39"/>
      <c r="F18" s="11"/>
      <c r="G18" s="48"/>
      <c r="H18" s="47"/>
      <c r="I18" s="43"/>
      <c r="J18" s="43"/>
      <c r="K18" s="48"/>
      <c r="L18" s="45"/>
      <c r="M18" s="40"/>
      <c r="N18" s="12"/>
      <c r="O18" s="13"/>
      <c r="P18" s="1"/>
      <c r="Q18" s="14"/>
      <c r="R18" s="19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12"/>
      <c r="O19" s="13"/>
      <c r="P19" s="1"/>
      <c r="Q19" s="14"/>
      <c r="R19" s="19"/>
    </row>
    <row r="20" spans="2:18" ht="15.75" hidden="1" thickBot="1">
      <c r="B20" s="7"/>
      <c r="C20" s="51"/>
      <c r="D20" s="10"/>
      <c r="E20" s="39"/>
      <c r="F20" s="11"/>
      <c r="G20" s="48"/>
      <c r="H20" s="47"/>
      <c r="I20" s="43"/>
      <c r="J20" s="48"/>
      <c r="K20" s="48"/>
      <c r="L20" s="45"/>
      <c r="M20" s="40"/>
      <c r="N20" s="12"/>
      <c r="O20" s="13"/>
      <c r="P20" s="1"/>
      <c r="Q20" s="14"/>
      <c r="R20" s="19"/>
    </row>
    <row r="21" spans="2:18" ht="15.75" hidden="1" thickBot="1">
      <c r="B21" s="7"/>
      <c r="C21" s="37"/>
      <c r="D21" s="10"/>
      <c r="E21" s="39"/>
      <c r="F21" s="11"/>
      <c r="G21" s="48"/>
      <c r="H21" s="47"/>
      <c r="I21" s="43"/>
      <c r="J21" s="43"/>
      <c r="K21" s="48"/>
      <c r="L21" s="45"/>
      <c r="M21" s="40"/>
      <c r="N21" s="12"/>
      <c r="O21" s="13"/>
      <c r="P21" s="1"/>
      <c r="Q21" s="14"/>
      <c r="R21" s="19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12"/>
      <c r="O22" s="13"/>
      <c r="P22" s="1"/>
      <c r="Q22" s="14"/>
      <c r="R22" s="19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12"/>
      <c r="O23" s="13"/>
      <c r="P23" s="1"/>
      <c r="Q23" s="14"/>
      <c r="R23" s="19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12"/>
      <c r="O24" s="13"/>
      <c r="P24" s="1"/>
      <c r="Q24" s="14"/>
      <c r="R24" s="19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8"/>
      <c r="K25" s="48"/>
      <c r="L25" s="45"/>
      <c r="M25" s="40"/>
      <c r="N25" s="12"/>
      <c r="O25" s="13"/>
      <c r="P25" s="1"/>
      <c r="Q25" s="14"/>
      <c r="R25" s="19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12"/>
      <c r="O26" s="13"/>
      <c r="P26" s="1"/>
      <c r="Q26" s="14"/>
      <c r="R26" s="19"/>
    </row>
    <row r="27" spans="2:18" ht="15.75" hidden="1" thickBot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12"/>
      <c r="O27" s="13"/>
      <c r="P27" s="1"/>
      <c r="Q27" s="14"/>
      <c r="R27" s="19"/>
    </row>
    <row r="28" spans="2:18" ht="15.75" thickBot="1">
      <c r="B28" s="38"/>
      <c r="C28" s="37"/>
      <c r="D28" s="38"/>
      <c r="E28" s="16"/>
      <c r="F28" s="63" t="s">
        <v>8</v>
      </c>
      <c r="G28" s="64"/>
      <c r="H28" s="64"/>
      <c r="I28" s="52">
        <f>SUM(I17:I24)</f>
        <v>2069.3150684931506</v>
      </c>
      <c r="J28" s="53">
        <f>SUM(J17:J24)</f>
        <v>10000</v>
      </c>
      <c r="K28" s="52"/>
      <c r="L28" s="54">
        <f>SUM(L16:L24)</f>
        <v>954.9250684931485</v>
      </c>
      <c r="M28" s="41"/>
      <c r="N28" s="15">
        <f>SUM(N17:N24)</f>
        <v>11114.389990705751</v>
      </c>
      <c r="O28" s="1"/>
      <c r="P28" s="1"/>
      <c r="Q28" s="1"/>
      <c r="R28" s="19"/>
    </row>
    <row r="29" spans="2:18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6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>
      <c r="E37" s="16"/>
      <c r="F37" s="17"/>
      <c r="G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LECRdSyieuoXgGu9h44PSXDX2fvwTJi1GNlX9rfV8u2uHseg25CZamTG7aWogiPqVuNyP+l8yMwG1dMKOJBtkw==" saltValue="wJ6zWTopbURrQvuxxRiiEA==" spinCount="100000" sheet="1" selectLockedCells="1"/>
  <mergeCells count="4">
    <mergeCell ref="J9:K9"/>
    <mergeCell ref="J10:K10"/>
    <mergeCell ref="J11:K11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BC34-0635-44F7-B6A6-AE6B1B86A716}">
  <sheetPr>
    <pageSetUpPr fitToPage="1"/>
  </sheetPr>
  <dimension ref="A1:CW57"/>
  <sheetViews>
    <sheetView showGridLines="0" zoomScale="90" zoomScaleNormal="9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17.140625" style="20" customWidth="1"/>
    <col min="2" max="2" width="34.42578125" style="20" hidden="1" customWidth="1" outlineLevel="1"/>
    <col min="3" max="3" width="20.85546875" style="20" hidden="1" customWidth="1" outlineLevel="1"/>
    <col min="4" max="4" width="34.42578125" style="20" hidden="1" customWidth="1" outlineLevel="1"/>
    <col min="5" max="5" width="11.140625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22.7109375" style="20" hidden="1" customWidth="1" outlineLevel="1"/>
    <col min="15" max="15" width="14.42578125" style="20" hidden="1" customWidth="1" outlineLevel="1"/>
    <col min="16" max="16" width="13.5703125" style="20" hidden="1" customWidth="1" outlineLevel="1"/>
    <col min="17" max="17" width="32.71093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15</v>
      </c>
      <c r="G6" s="2" t="s">
        <v>17</v>
      </c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16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56" t="s">
        <v>20</v>
      </c>
      <c r="G9" s="23">
        <v>45674</v>
      </c>
      <c r="H9" s="16"/>
      <c r="I9" s="16"/>
      <c r="J9" s="62" t="s">
        <v>0</v>
      </c>
      <c r="K9" s="62"/>
      <c r="L9" s="3">
        <f>+XIRR(L16:L17,F16:F17)</f>
        <v>0.34601306319236758</v>
      </c>
      <c r="M9" s="4"/>
      <c r="N9" s="19"/>
      <c r="O9" s="19"/>
      <c r="P9" s="19"/>
      <c r="Q9" s="19"/>
      <c r="R9" s="19"/>
    </row>
    <row r="10" spans="2:18">
      <c r="E10" s="16"/>
      <c r="F10" s="57" t="s">
        <v>21</v>
      </c>
      <c r="G10" s="58">
        <v>0.34499999999999997</v>
      </c>
      <c r="H10" s="16"/>
      <c r="I10" s="16"/>
      <c r="J10" s="62" t="s">
        <v>14</v>
      </c>
      <c r="K10" s="62"/>
      <c r="L10" s="3">
        <f>+(((1+L9)^(161/365)-1)*(365/161))</f>
        <v>0.31749993218411887</v>
      </c>
      <c r="M10" s="24"/>
      <c r="N10" s="19"/>
      <c r="O10" s="19"/>
      <c r="P10" s="19"/>
      <c r="Q10" s="19"/>
      <c r="R10" s="19"/>
    </row>
    <row r="11" spans="2:18">
      <c r="E11" s="16"/>
      <c r="F11" s="56" t="s">
        <v>23</v>
      </c>
      <c r="G11" s="22">
        <v>10000</v>
      </c>
      <c r="H11" s="16"/>
      <c r="I11" s="16"/>
      <c r="J11" s="62" t="s">
        <v>2</v>
      </c>
      <c r="K11" s="62"/>
      <c r="L11" s="25">
        <f>+SUM(Q17)/(365/12)</f>
        <v>5.2931506849315069</v>
      </c>
      <c r="M11" s="24"/>
      <c r="N11" s="19"/>
      <c r="O11" s="19"/>
      <c r="P11" s="19"/>
      <c r="Q11" s="19"/>
      <c r="R11" s="19"/>
    </row>
    <row r="12" spans="2:18">
      <c r="B12" s="20">
        <v>161</v>
      </c>
      <c r="E12" s="16"/>
      <c r="F12" s="56" t="s">
        <v>22</v>
      </c>
      <c r="G12" s="23">
        <v>45695</v>
      </c>
      <c r="H12" s="29"/>
      <c r="I12" s="21"/>
      <c r="K12" s="55"/>
      <c r="M12" s="27"/>
      <c r="N12" s="28"/>
      <c r="O12" s="19"/>
      <c r="P12" s="19"/>
      <c r="Q12" s="19"/>
      <c r="R12" s="19"/>
    </row>
    <row r="13" spans="2:18">
      <c r="E13" s="16"/>
      <c r="F13" s="59" t="s">
        <v>24</v>
      </c>
      <c r="G13" s="61">
        <v>1.028051</v>
      </c>
      <c r="H13" s="16"/>
      <c r="I13" s="16"/>
      <c r="J13" s="16"/>
      <c r="K13" s="16"/>
      <c r="L13" s="16"/>
      <c r="M13" s="30"/>
      <c r="N13" s="28"/>
      <c r="O13" s="19"/>
      <c r="P13" s="19"/>
      <c r="Q13" s="19"/>
      <c r="R13" s="19"/>
    </row>
    <row r="14" spans="2:18" ht="15.75" thickBot="1">
      <c r="E14" s="16"/>
      <c r="F14" s="17"/>
      <c r="G14" s="16"/>
      <c r="H14" s="16"/>
      <c r="I14" s="16"/>
      <c r="J14" s="16"/>
      <c r="K14" s="16"/>
      <c r="L14" s="16"/>
      <c r="M14" s="30"/>
      <c r="N14" s="28"/>
      <c r="O14" s="19"/>
      <c r="P14" s="19"/>
      <c r="Q14" s="19"/>
      <c r="R14" s="19"/>
    </row>
    <row r="15" spans="2:18" s="32" customFormat="1" ht="28.5" customHeight="1" thickBot="1">
      <c r="B15" s="33"/>
      <c r="C15" s="33" t="s">
        <v>6</v>
      </c>
      <c r="D15" s="33"/>
      <c r="E15" s="34"/>
      <c r="F15" s="46" t="s">
        <v>3</v>
      </c>
      <c r="G15" s="49" t="s">
        <v>9</v>
      </c>
      <c r="H15" s="49" t="s">
        <v>4</v>
      </c>
      <c r="I15" s="49" t="s">
        <v>10</v>
      </c>
      <c r="J15" s="49" t="s">
        <v>11</v>
      </c>
      <c r="K15" s="49" t="s">
        <v>12</v>
      </c>
      <c r="L15" s="50" t="s">
        <v>13</v>
      </c>
      <c r="M15" s="35"/>
      <c r="N15" s="5" t="s">
        <v>1</v>
      </c>
      <c r="O15" s="5" t="s">
        <v>5</v>
      </c>
      <c r="P15" s="6"/>
      <c r="Q15" s="5" t="s">
        <v>7</v>
      </c>
      <c r="R15" s="36"/>
    </row>
    <row r="16" spans="2:18">
      <c r="B16" s="7">
        <v>45695</v>
      </c>
      <c r="C16" s="51">
        <f>+$G$10</f>
        <v>0.34499999999999997</v>
      </c>
      <c r="D16" s="7">
        <f>+B16</f>
        <v>45695</v>
      </c>
      <c r="E16" s="39"/>
      <c r="F16" s="8">
        <f>+B16</f>
        <v>45695</v>
      </c>
      <c r="G16" s="48">
        <f>+G11</f>
        <v>10000</v>
      </c>
      <c r="H16" s="44"/>
      <c r="I16" s="43"/>
      <c r="J16" s="43"/>
      <c r="K16" s="48">
        <f t="shared" ref="K16:K17" si="0">+G16-J16</f>
        <v>10000</v>
      </c>
      <c r="L16" s="45">
        <f>-G16*$G$13</f>
        <v>-10280.51</v>
      </c>
      <c r="M16" s="40"/>
      <c r="N16" s="9"/>
      <c r="O16" s="9"/>
      <c r="P16" s="1"/>
      <c r="Q16" s="1"/>
      <c r="R16" s="19"/>
    </row>
    <row r="17" spans="2:18" ht="15.75" thickBot="1">
      <c r="B17" s="7">
        <f>+B16+B12</f>
        <v>45856</v>
      </c>
      <c r="C17" s="51">
        <f>+$G$10</f>
        <v>0.34499999999999997</v>
      </c>
      <c r="D17" s="10">
        <f>+B17</f>
        <v>45856</v>
      </c>
      <c r="E17" s="39"/>
      <c r="F17" s="11">
        <f t="shared" ref="F17" si="1">+D17</f>
        <v>45856</v>
      </c>
      <c r="G17" s="48">
        <f>+K16</f>
        <v>10000</v>
      </c>
      <c r="H17" s="47">
        <f>+B17-G9</f>
        <v>182</v>
      </c>
      <c r="I17" s="43">
        <f>+G17*($G$10)*(H17)/365</f>
        <v>1720.2739726027394</v>
      </c>
      <c r="J17" s="43">
        <f>+G11</f>
        <v>10000</v>
      </c>
      <c r="K17" s="48">
        <f t="shared" si="0"/>
        <v>0</v>
      </c>
      <c r="L17" s="45">
        <f>+I17+J17</f>
        <v>11720.273972602739</v>
      </c>
      <c r="M17" s="40"/>
      <c r="N17" s="12">
        <f>+L17/(1+$L$9)^((O17)/365)</f>
        <v>10280.509981546742</v>
      </c>
      <c r="O17" s="13">
        <v>161</v>
      </c>
      <c r="P17" s="1"/>
      <c r="Q17" s="14">
        <f>+(N17/$N$28)*O17</f>
        <v>161</v>
      </c>
      <c r="R17" s="19"/>
    </row>
    <row r="18" spans="2:18" ht="15.75" hidden="1" thickBot="1">
      <c r="B18" s="7"/>
      <c r="C18" s="51"/>
      <c r="D18" s="10"/>
      <c r="E18" s="39"/>
      <c r="F18" s="11"/>
      <c r="G18" s="48"/>
      <c r="H18" s="47"/>
      <c r="I18" s="43"/>
      <c r="J18" s="43"/>
      <c r="K18" s="48"/>
      <c r="L18" s="45"/>
      <c r="M18" s="40"/>
      <c r="N18" s="12"/>
      <c r="O18" s="13"/>
      <c r="P18" s="1"/>
      <c r="Q18" s="14"/>
      <c r="R18" s="19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12"/>
      <c r="O19" s="13"/>
      <c r="P19" s="1"/>
      <c r="Q19" s="14"/>
      <c r="R19" s="19"/>
    </row>
    <row r="20" spans="2:18" ht="15.75" hidden="1" thickBot="1">
      <c r="B20" s="7"/>
      <c r="C20" s="51"/>
      <c r="D20" s="10"/>
      <c r="E20" s="39"/>
      <c r="F20" s="11"/>
      <c r="G20" s="48"/>
      <c r="H20" s="47"/>
      <c r="I20" s="43"/>
      <c r="J20" s="48"/>
      <c r="K20" s="48"/>
      <c r="L20" s="45"/>
      <c r="M20" s="40"/>
      <c r="N20" s="12"/>
      <c r="O20" s="13"/>
      <c r="P20" s="1"/>
      <c r="Q20" s="14"/>
      <c r="R20" s="19"/>
    </row>
    <row r="21" spans="2:18" ht="15.75" hidden="1" thickBot="1">
      <c r="B21" s="7"/>
      <c r="C21" s="37"/>
      <c r="D21" s="10"/>
      <c r="E21" s="39"/>
      <c r="F21" s="11"/>
      <c r="G21" s="48"/>
      <c r="H21" s="47"/>
      <c r="I21" s="43"/>
      <c r="J21" s="43"/>
      <c r="K21" s="48"/>
      <c r="L21" s="45"/>
      <c r="M21" s="40"/>
      <c r="N21" s="12"/>
      <c r="O21" s="13"/>
      <c r="P21" s="1"/>
      <c r="Q21" s="14"/>
      <c r="R21" s="19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12"/>
      <c r="O22" s="13"/>
      <c r="P22" s="1"/>
      <c r="Q22" s="14"/>
      <c r="R22" s="19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12"/>
      <c r="O23" s="13"/>
      <c r="P23" s="1"/>
      <c r="Q23" s="14"/>
      <c r="R23" s="19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12"/>
      <c r="O24" s="13"/>
      <c r="P24" s="1"/>
      <c r="Q24" s="14"/>
      <c r="R24" s="19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8"/>
      <c r="K25" s="48"/>
      <c r="L25" s="45"/>
      <c r="M25" s="40"/>
      <c r="N25" s="12"/>
      <c r="O25" s="13"/>
      <c r="P25" s="1"/>
      <c r="Q25" s="14"/>
      <c r="R25" s="19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12"/>
      <c r="O26" s="13"/>
      <c r="P26" s="1"/>
      <c r="Q26" s="14"/>
      <c r="R26" s="19"/>
    </row>
    <row r="27" spans="2:18" ht="15.75" hidden="1" thickBot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12"/>
      <c r="O27" s="13"/>
      <c r="P27" s="1"/>
      <c r="Q27" s="14"/>
      <c r="R27" s="19"/>
    </row>
    <row r="28" spans="2:18" ht="15.75" thickBot="1">
      <c r="B28" s="38"/>
      <c r="C28" s="37"/>
      <c r="D28" s="38"/>
      <c r="E28" s="16"/>
      <c r="F28" s="63" t="s">
        <v>8</v>
      </c>
      <c r="G28" s="64"/>
      <c r="H28" s="64"/>
      <c r="I28" s="52">
        <f>SUM(I17:I24)</f>
        <v>1720.2739726027394</v>
      </c>
      <c r="J28" s="53">
        <f>SUM(J17:J24)</f>
        <v>10000</v>
      </c>
      <c r="K28" s="52"/>
      <c r="L28" s="54">
        <f>SUM(L16:L24)</f>
        <v>1439.7639726027392</v>
      </c>
      <c r="M28" s="41"/>
      <c r="N28" s="15">
        <f>SUM(N17:N24)</f>
        <v>10280.509981546742</v>
      </c>
      <c r="O28" s="1"/>
      <c r="P28" s="1"/>
      <c r="Q28" s="1"/>
      <c r="R28" s="19"/>
    </row>
    <row r="29" spans="2:18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6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>
      <c r="E37" s="16"/>
      <c r="F37" s="17"/>
      <c r="G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MhNMbgYBVxA3zUk+WUM71oZDbAD4TELJ/aoupLD+7+dRkfVmZ0s1yeprH90Qd3dY5iKn46avgQ5Br0dbEmqVKQ==" saltValue="iIi+D7ZE63wZoXwEMavFxg==" spinCount="100000" sheet="1" selectLockedCells="1"/>
  <mergeCells count="4">
    <mergeCell ref="J9:K9"/>
    <mergeCell ref="J10:K10"/>
    <mergeCell ref="J11:K11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33(Reapertura)</vt:lpstr>
      <vt:lpstr>Clase 3(Reapertura)</vt:lpstr>
      <vt:lpstr>'Clase 3(Reapertura)'!Área_de_impresión</vt:lpstr>
      <vt:lpstr>'Clase 33(Reapertura)'!Área_de_impresión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2025-02-05T14:58:50Z</dcterms:modified>
</cp:coreProperties>
</file>