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Banco Comafi\Clase XVI\"/>
    </mc:Choice>
  </mc:AlternateContent>
  <xr:revisionPtr revIDLastSave="0" documentId="13_ncr:1_{40F492C0-EABA-469E-911D-C47FE0327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Bco COMAFI Clase XVI" sheetId="12" r:id="rId1"/>
  </sheets>
  <definedNames>
    <definedName name="_xlnm.Print_Area" localSheetId="0">'ON Bco COMAFI Clase XVI'!$A$4:$P$17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2" l="1"/>
  <c r="L15" i="12"/>
  <c r="K17" i="12"/>
  <c r="K16" i="12"/>
  <c r="K15" i="12"/>
  <c r="J17" i="12"/>
  <c r="I17" i="12"/>
  <c r="L17" i="12" s="1"/>
  <c r="I16" i="12"/>
  <c r="H17" i="12"/>
  <c r="H16" i="12"/>
  <c r="F15" i="12"/>
  <c r="N17" i="12" l="1"/>
  <c r="L18" i="12"/>
  <c r="N16" i="12"/>
  <c r="L9" i="12"/>
  <c r="L10" i="12" s="1"/>
  <c r="N18" i="12"/>
  <c r="Q17" i="12" s="1"/>
  <c r="C17" i="12"/>
  <c r="Q16" i="12" l="1"/>
  <c r="L11" i="12" s="1"/>
  <c r="C16" i="12"/>
  <c r="C15" i="12"/>
  <c r="D15" i="12" l="1"/>
  <c r="B15" i="12" s="1"/>
  <c r="B16" i="12" s="1"/>
  <c r="J18" i="12"/>
  <c r="B17" i="12" l="1"/>
  <c r="D17" i="12" s="1"/>
  <c r="D16" i="12"/>
  <c r="F16" i="12" s="1"/>
  <c r="O16" i="12" s="1"/>
  <c r="G15" i="12"/>
  <c r="F17" i="12" l="1"/>
  <c r="O17" i="12" s="1"/>
  <c r="G16" i="12" l="1"/>
  <c r="G17" i="12" l="1"/>
  <c r="I18" i="12" l="1"/>
  <c r="L12" i="12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<sst xmlns="http://schemas.openxmlformats.org/spreadsheetml/2006/main" count="22" uniqueCount="22">
  <si>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</si>
  <si>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</si>
  <si>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</si>
  <si>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</si>
  <si>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</si>
  <si>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</si>
  <si>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</si>
  <si>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</si>
  <si>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</si>
  <si>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</si>
  <si>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</si>
  <si>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</si>
  <si>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</si>
  <si>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</si>
  <si>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</si>
  <si>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</si>
  <si>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</si>
  <si>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</si>
  <si>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</si>
  <si>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</si>
  <si>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Dólar MEP - 12 meses</t>
  </si>
  <si>
    <t>Obligaciones Negociables Banco COMAFI S.A. Clase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</si>
</sst>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4" fontId="4" fillId="0" borderId="0" xfId="4" applyNumberFormat="1" applyFont="1"/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9">
    <cellStyle name="Millares" xfId="2" builtinId="3"/>
    <cellStyle name="Millares 2" xfId="5" xr:uid="{7991B591-6442-474D-A7CE-578C4E2BF367}"/>
    <cellStyle name="Millares 3" xfId="8" xr:uid="{619B6C2F-4713-4B48-9DCE-FA9263CF812F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1587500</xdr:colOff>
      <xdr:row>1</xdr:row>
      <xdr:rowOff>53810</xdr:rowOff>
    </xdr:from>
    <xdr:to>
      <xdr:col>11</xdr:col>
      <xdr:colOff>1295782</xdr:colOff>
      <xdr:row>3</xdr:row>
      <xdr:rowOff>150918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2813" y="244310"/>
          <a:ext cx="1438657" cy="46223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23812</xdr:rowOff>
    </xdr:from>
    <xdr:to>
      <xdr:col>6</xdr:col>
      <xdr:colOff>63951</xdr:colOff>
      <xdr:row>4</xdr:row>
      <xdr:rowOff>166622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0699EB-9C8D-485C-B52D-636DBFC03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9563" y="404812"/>
          <a:ext cx="2742857" cy="5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V56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7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customWidth="1" outlineLevel="1"/>
    <col min="92" max="92" width="11.42578125" style="20" customWidth="1" outlineLevel="1" collapsed="1"/>
    <col min="93" max="93" width="11.42578125" style="20" customWidth="1" outlineLevel="1"/>
    <col min="94" max="94" width="11.42578125" style="20" customWidth="1" outlineLevel="1" collapsed="1"/>
    <col min="95" max="95" width="11.42578125" style="20" customWidth="1" outlineLevel="1"/>
    <col min="96" max="96" width="11.42578125" style="20" customWidth="1" outlineLevel="1" collapsed="1"/>
    <col min="97" max="97" width="11.42578125" style="20" customWidth="1" outlineLevel="1"/>
    <col min="98" max="98" width="11.42578125" style="20" customWidth="1" outlineLevel="1" collapsed="1"/>
    <col min="99" max="99" width="11.42578125" style="20" customWidth="1" outlineLevel="1"/>
    <col min="100" max="100" width="11.42578125" style="20" outlineLevel="1" collapsed="1"/>
    <col min="101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21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20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18</v>
      </c>
      <c r="G9" s="23">
        <v>1100</v>
      </c>
      <c r="H9" s="16"/>
      <c r="I9" s="16"/>
      <c r="J9" s="59" t="s">
        <v>0</v>
      </c>
      <c r="K9" s="59"/>
      <c r="L9" s="3">
        <f>+XIRR(L15:L17,F15:F17)</f>
        <v>6.8638828396797205E-2</v>
      </c>
      <c r="M9" s="4"/>
      <c r="N9" s="19"/>
      <c r="O9" s="19"/>
      <c r="P9" s="19"/>
      <c r="Q9" s="19"/>
      <c r="R9" s="19"/>
    </row>
    <row r="10" spans="2:18">
      <c r="B10" s="57"/>
      <c r="E10" s="16"/>
      <c r="F10" s="22" t="s">
        <v>6</v>
      </c>
      <c r="G10" s="24">
        <v>45888</v>
      </c>
      <c r="H10" s="16"/>
      <c r="I10" s="16"/>
      <c r="J10" s="59" t="s">
        <v>19</v>
      </c>
      <c r="K10" s="59"/>
      <c r="L10" s="3">
        <f>+(((1+L9)^(180/365)-1)*(365/180))</f>
        <v>6.7484345028746243E-2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12</v>
      </c>
      <c r="G11" s="56">
        <v>6.7500000000000004E-2</v>
      </c>
      <c r="H11" s="16"/>
      <c r="I11" s="16"/>
      <c r="J11" s="59" t="s">
        <v>2</v>
      </c>
      <c r="K11" s="59"/>
      <c r="L11" s="26">
        <f>+SUM(Q16:Q17)/(365/12)</f>
        <v>11.804177887812719</v>
      </c>
      <c r="M11" s="25"/>
      <c r="N11" s="19"/>
      <c r="O11" s="19"/>
      <c r="P11" s="19"/>
      <c r="Q11" s="19"/>
      <c r="R11" s="19"/>
    </row>
    <row r="12" spans="2:18">
      <c r="E12" s="16"/>
      <c r="F12" s="17"/>
      <c r="G12" s="16"/>
      <c r="H12" s="30"/>
      <c r="I12" s="21"/>
      <c r="J12" s="59" t="s">
        <v>8</v>
      </c>
      <c r="K12" s="59"/>
      <c r="L12" s="3">
        <f>+N18/G15</f>
        <v>0.99999999730506506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13</v>
      </c>
      <c r="H14" s="50" t="s">
        <v>4</v>
      </c>
      <c r="I14" s="50" t="s">
        <v>14</v>
      </c>
      <c r="J14" s="50" t="s">
        <v>15</v>
      </c>
      <c r="K14" s="50" t="s">
        <v>16</v>
      </c>
      <c r="L14" s="51" t="s">
        <v>17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45888</v>
      </c>
      <c r="C15" s="52">
        <f>+$G$11+$G$12</f>
        <v>6.7500000000000004E-2</v>
      </c>
      <c r="D15" s="7">
        <f>+G10</f>
        <v>45888</v>
      </c>
      <c r="E15" s="40"/>
      <c r="F15" s="8">
        <f>+G10</f>
        <v>45888</v>
      </c>
      <c r="G15" s="49">
        <f>+G9</f>
        <v>1100</v>
      </c>
      <c r="H15" s="45"/>
      <c r="I15" s="44"/>
      <c r="J15" s="44"/>
      <c r="K15" s="49">
        <f>+G15-J15</f>
        <v>1100</v>
      </c>
      <c r="L15" s="46">
        <f>-G15</f>
        <v>-1100</v>
      </c>
      <c r="M15" s="41"/>
      <c r="N15" s="9"/>
      <c r="O15" s="9"/>
      <c r="P15" s="1"/>
      <c r="Q15" s="1"/>
      <c r="R15" s="19"/>
    </row>
    <row r="16" spans="2:18">
      <c r="B16" s="7">
        <f>+EDATE(B15,6)</f>
        <v>46072</v>
      </c>
      <c r="C16" s="52">
        <f>+$G$11+$G$12</f>
        <v>6.7500000000000004E-2</v>
      </c>
      <c r="D16" s="7">
        <f>+B16</f>
        <v>46072</v>
      </c>
      <c r="E16" s="40"/>
      <c r="F16" s="10">
        <f t="shared" ref="F16" si="0">+D16</f>
        <v>46072</v>
      </c>
      <c r="G16" s="49">
        <f>+K15</f>
        <v>1100</v>
      </c>
      <c r="H16" s="48">
        <f>+B16-B15</f>
        <v>184</v>
      </c>
      <c r="I16" s="44">
        <f>+G16*($G$11)*(H16)/365</f>
        <v>37.43013698630137</v>
      </c>
      <c r="J16" s="49"/>
      <c r="K16" s="49">
        <f>+G16-J16</f>
        <v>1100</v>
      </c>
      <c r="L16" s="46">
        <f>+I16+J16</f>
        <v>37.43013698630137</v>
      </c>
      <c r="M16" s="41"/>
      <c r="N16" s="11">
        <f>+L16/(1+$L$9)^((O16)/365)</f>
        <v>36.198240253826555</v>
      </c>
      <c r="O16" s="12">
        <f>+F16-$F$15</f>
        <v>184</v>
      </c>
      <c r="P16" s="1"/>
      <c r="Q16" s="13">
        <f>+(N16/$N$18)*O16</f>
        <v>6.0549783860487603</v>
      </c>
      <c r="R16" s="19"/>
    </row>
    <row r="17" spans="2:18" ht="15.75" thickBot="1">
      <c r="B17" s="7">
        <f>+EDATE(B16,6)</f>
        <v>46253</v>
      </c>
      <c r="C17" s="52">
        <f>+$G$11+$G$12</f>
        <v>6.7500000000000004E-2</v>
      </c>
      <c r="D17" s="7">
        <f>+B17</f>
        <v>46253</v>
      </c>
      <c r="E17" s="40"/>
      <c r="F17" s="10">
        <f t="shared" ref="F17" si="1">+D17</f>
        <v>46253</v>
      </c>
      <c r="G17" s="49">
        <f>+K16</f>
        <v>1100</v>
      </c>
      <c r="H17" s="48">
        <f>+D17-B16</f>
        <v>181</v>
      </c>
      <c r="I17" s="44">
        <f>+G17*($G$11)*(H17)/365</f>
        <v>36.81986301369863</v>
      </c>
      <c r="J17" s="49">
        <f>$G$9*1</f>
        <v>1100</v>
      </c>
      <c r="K17" s="49">
        <f>+G17-J17</f>
        <v>0</v>
      </c>
      <c r="L17" s="46">
        <f>+I17+J17</f>
        <v>1136.8198630136985</v>
      </c>
      <c r="M17" s="41"/>
      <c r="N17" s="11">
        <f>+L17/(1+$L$9)^((O17)/365)</f>
        <v>1063.8017567817451</v>
      </c>
      <c r="O17" s="12">
        <f>+F17-F15</f>
        <v>365</v>
      </c>
      <c r="P17" s="1"/>
      <c r="Q17" s="13">
        <f>+(N17/$N$18)*O17</f>
        <v>352.98876570158808</v>
      </c>
      <c r="R17" s="19"/>
    </row>
    <row r="18" spans="2:18" ht="15.75" thickBot="1">
      <c r="B18" s="39"/>
      <c r="C18" s="38"/>
      <c r="D18" s="39"/>
      <c r="E18" s="16"/>
      <c r="F18" s="60" t="s">
        <v>10</v>
      </c>
      <c r="G18" s="61"/>
      <c r="H18" s="61"/>
      <c r="I18" s="53">
        <f>SUM(I16:I17)</f>
        <v>74.25</v>
      </c>
      <c r="J18" s="54">
        <f>SUM(J16:J17)</f>
        <v>1100</v>
      </c>
      <c r="K18" s="53"/>
      <c r="L18" s="55">
        <f>SUM(L15:L17)</f>
        <v>74.25</v>
      </c>
      <c r="M18" s="42"/>
      <c r="N18" s="14">
        <f>SUM(N16:N17)</f>
        <v>1099.9999970355716</v>
      </c>
      <c r="O18" s="1"/>
      <c r="P18" s="1"/>
      <c r="Q18" s="13"/>
      <c r="R18" s="19"/>
    </row>
    <row r="19" spans="2:18">
      <c r="E19" s="16"/>
      <c r="F19" s="17"/>
      <c r="G19" s="16"/>
      <c r="H19" s="16"/>
      <c r="I19" s="16"/>
      <c r="J19" s="16"/>
      <c r="K19" s="16"/>
      <c r="L19" s="16"/>
      <c r="M19" s="18"/>
      <c r="N19" s="19"/>
      <c r="O19" s="19"/>
      <c r="P19" s="19"/>
      <c r="Q19" s="19"/>
      <c r="R19" s="19"/>
    </row>
    <row r="20" spans="2:18">
      <c r="E20" s="16"/>
      <c r="F20" s="16"/>
      <c r="G20" s="16"/>
      <c r="H20" s="16"/>
      <c r="I20" s="16"/>
      <c r="J20" s="16"/>
      <c r="K20" s="16"/>
      <c r="L20" s="16"/>
      <c r="M20" s="18"/>
      <c r="N20" s="19"/>
      <c r="O20" s="19"/>
      <c r="P20" s="19"/>
      <c r="Q20" s="19"/>
      <c r="R20" s="19"/>
    </row>
    <row r="21" spans="2:18" s="1" customFormat="1" ht="26.25" customHeight="1">
      <c r="E21" s="15"/>
      <c r="F21" s="58" t="s">
        <v>11</v>
      </c>
      <c r="G21" s="58"/>
      <c r="H21" s="58"/>
      <c r="I21" s="58"/>
      <c r="J21" s="58"/>
      <c r="K21" s="58"/>
      <c r="L21" s="58"/>
    </row>
    <row r="22" spans="2:18" s="1" customFormat="1" ht="26.25" customHeight="1">
      <c r="E22" s="15"/>
      <c r="F22" s="58"/>
      <c r="G22" s="58"/>
      <c r="H22" s="58"/>
      <c r="I22" s="58"/>
      <c r="J22" s="58"/>
      <c r="K22" s="58"/>
      <c r="L22" s="58"/>
    </row>
    <row r="23" spans="2:18">
      <c r="E23" s="16"/>
      <c r="F23" s="17"/>
      <c r="G23" s="16"/>
      <c r="H23" s="16"/>
      <c r="I23" s="16"/>
      <c r="J23" s="16"/>
      <c r="K23" s="16"/>
      <c r="L23" s="16"/>
      <c r="M23" s="18"/>
      <c r="N23" s="19"/>
      <c r="O23" s="19"/>
      <c r="P23" s="19"/>
      <c r="Q23" s="19"/>
      <c r="R23" s="19"/>
    </row>
    <row r="24" spans="2:18">
      <c r="E24" s="16"/>
      <c r="F24" s="17"/>
      <c r="G24" s="16"/>
      <c r="H24" s="16"/>
      <c r="I24" s="16"/>
      <c r="J24" s="16"/>
      <c r="K24" s="16"/>
      <c r="L24" s="16"/>
      <c r="M24" s="18"/>
      <c r="N24" s="19"/>
      <c r="O24" s="19"/>
      <c r="P24" s="19"/>
      <c r="Q24" s="19"/>
      <c r="R24" s="19"/>
    </row>
    <row r="25" spans="2:18">
      <c r="E25" s="16"/>
      <c r="F25" s="17"/>
      <c r="G25" s="16"/>
      <c r="H25" s="16"/>
      <c r="I25" s="16"/>
      <c r="J25" s="16"/>
      <c r="K25" s="16"/>
      <c r="L25" s="16"/>
      <c r="M25" s="18"/>
      <c r="N25" s="19"/>
      <c r="O25" s="19"/>
      <c r="P25" s="19"/>
      <c r="Q25" s="19"/>
      <c r="R25" s="19"/>
    </row>
    <row r="26" spans="2:18">
      <c r="E26" s="16"/>
      <c r="F26" s="17"/>
      <c r="G26" s="16"/>
      <c r="H26" s="16"/>
      <c r="I26" s="16"/>
      <c r="J26" s="16"/>
      <c r="K26" s="16"/>
      <c r="L26" s="16"/>
      <c r="M26" s="18"/>
      <c r="N26" s="19"/>
      <c r="O26" s="19"/>
      <c r="P26" s="19"/>
      <c r="Q26" s="19"/>
      <c r="R26" s="19"/>
    </row>
    <row r="27" spans="2:18">
      <c r="E27" s="16"/>
      <c r="F27" s="17"/>
      <c r="G27" s="16"/>
      <c r="H27" s="16"/>
      <c r="I27" s="16"/>
      <c r="J27" s="16"/>
      <c r="K27" s="16"/>
      <c r="L27" s="16"/>
      <c r="M27" s="18"/>
      <c r="N27" s="19"/>
      <c r="O27" s="19"/>
      <c r="P27" s="19"/>
      <c r="Q27" s="19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 ht="15" customHeight="1"/>
    <row r="31" spans="2:18" ht="15" customHeight="1"/>
    <row r="32" spans="2:1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sheetProtection algorithmName="SHA-512" hashValue="+MWaKAGAeQi3gRnOehYwelXqFBNCCbXLYhpniTeWmneLMic0lTJYMvTFY6BH1xlGMUIyaYKAlzioZnCnha3jgQ==" saltValue="iin5zdFexS5r2u59zpFtnA==" spinCount="100000" sheet="1" selectLockedCells="1"/>
  <mergeCells count="6">
    <mergeCell ref="F21:L22"/>
    <mergeCell ref="J9:K9"/>
    <mergeCell ref="J10:K10"/>
    <mergeCell ref="J11:K11"/>
    <mergeCell ref="J12:K12"/>
    <mergeCell ref="F18:H1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Bco COMAFI Clase XVI</vt:lpstr>
      <vt:lpstr>'ON Bco COMAFI Clase XVI'!Área_de_impresión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2025-08-18T12:34:36Z</dcterms:modified>
</cp:coreProperties>
</file>