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LUSPETROL\Clase 3\"/>
    </mc:Choice>
  </mc:AlternateContent>
  <xr:revisionPtr revIDLastSave="0" documentId="13_ncr:1_{306C94BD-3A96-463F-AA7E-211587AE0738}" xr6:coauthVersionLast="47" xr6:coauthVersionMax="47" xr10:uidLastSave="{00000000-0000-0000-0000-000000000000}"/>
  <bookViews>
    <workbookView xWindow="28680" yWindow="-120" windowWidth="29040" windowHeight="15840" xr2:uid="{5A7869C8-6724-4931-8FBD-F406316EB44F}"/>
  </bookViews>
  <sheets>
    <sheet name="Pluspetrol" sheetId="4" r:id="rId1"/>
  </sheets>
  <definedNames>
    <definedName name="_xlnm.Print_Area" localSheetId="0">Pluspetrol!$A$6:$O$16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H20" i="4"/>
  <c r="H16" i="4"/>
  <c r="H17" i="4"/>
  <c r="H18" i="4"/>
  <c r="H19" i="4"/>
  <c r="H15" i="4"/>
  <c r="B20" i="4"/>
  <c r="B19" i="4"/>
  <c r="D20" i="4"/>
  <c r="D17" i="4"/>
  <c r="J20" i="4"/>
  <c r="J21" i="4"/>
  <c r="G14" i="4"/>
  <c r="K14" i="4" s="1"/>
  <c r="G15" i="4" s="1"/>
  <c r="K15" i="4" s="1"/>
  <c r="G16" i="4" s="1"/>
  <c r="F14" i="4"/>
  <c r="B14" i="4"/>
  <c r="L14" i="4" l="1"/>
  <c r="D14" i="4"/>
  <c r="B15" i="4"/>
  <c r="B16" i="4" s="1"/>
  <c r="B17" i="4" s="1"/>
  <c r="K16" i="4"/>
  <c r="G17" i="4" s="1"/>
  <c r="I17" i="4" s="1"/>
  <c r="B18" i="4" l="1"/>
  <c r="D15" i="4"/>
  <c r="K17" i="4"/>
  <c r="G18" i="4" s="1"/>
  <c r="D16" i="4"/>
  <c r="K18" i="4" l="1"/>
  <c r="G19" i="4" s="1"/>
  <c r="K19" i="4" s="1"/>
  <c r="G20" i="4" s="1"/>
  <c r="F15" i="4"/>
  <c r="O15" i="4" s="1"/>
  <c r="I15" i="4"/>
  <c r="L15" i="4" s="1"/>
  <c r="F16" i="4"/>
  <c r="O16" i="4" s="1"/>
  <c r="I16" i="4"/>
  <c r="K20" i="4" l="1"/>
  <c r="D18" i="4"/>
  <c r="L16" i="4"/>
  <c r="F17" i="4"/>
  <c r="O17" i="4" s="1"/>
  <c r="L17" i="4" l="1"/>
  <c r="I18" i="4"/>
  <c r="L18" i="4" s="1"/>
  <c r="F18" i="4"/>
  <c r="O18" i="4" s="1"/>
  <c r="I21" i="4" l="1"/>
  <c r="F19" i="4"/>
  <c r="O19" i="4" l="1"/>
  <c r="L8" i="4"/>
  <c r="L9" i="4" s="1"/>
  <c r="I19" i="4"/>
  <c r="L19" i="4" s="1"/>
  <c r="I20" i="4"/>
  <c r="L20" i="4" s="1"/>
  <c r="F20" i="4"/>
  <c r="O20" i="4" s="1"/>
  <c r="L21" i="4" l="1"/>
  <c r="N20" i="4" l="1"/>
  <c r="N18" i="4"/>
  <c r="N15" i="4"/>
  <c r="N17" i="4"/>
  <c r="N16" i="4"/>
  <c r="N19" i="4"/>
  <c r="N21" i="4" l="1"/>
  <c r="P19" i="4" l="1"/>
  <c r="P18" i="4"/>
  <c r="P17" i="4"/>
  <c r="P20" i="4"/>
  <c r="P15" i="4"/>
  <c r="L10" i="4" s="1"/>
  <c r="P16" i="4"/>
  <c r="L11" i="4" l="1"/>
</calcChain>
</file>

<file path=xl/sharedStrings.xml><?xml version="1.0" encoding="utf-8"?>
<sst xmlns="http://schemas.openxmlformats.org/spreadsheetml/2006/main" count="23" uniqueCount="23">
  <si>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</si>
  <si>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</si>
  <si>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</si>
  <si>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</si>
  <si>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</si>
  <si>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</si>
  <si>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</si>
  <si>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</si>
  <si>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</si>
  <si>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</si>
  <si>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</si>
  <si>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</si>
  <si>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</si>
  <si>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</si>
  <si>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</si>
  <si>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</si>
  <si>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</si>
  <si>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</si>
  <si>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</si>
  <si>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</si>
  <si>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TNA (180 d)</t>
  </si>
  <si>
    <t>Dólar MEP - 36 Meses</t>
  </si>
  <si>
    <t>ON Pluspetrol S.A. Clase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</si>
</sst>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1127354</xdr:colOff>
      <xdr:row>0</xdr:row>
      <xdr:rowOff>169334</xdr:rowOff>
    </xdr:from>
    <xdr:to>
      <xdr:col>11</xdr:col>
      <xdr:colOff>1111604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8C3A8B-7962-4DE4-82A7-1C776E0F0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0021" y="169334"/>
          <a:ext cx="1370666" cy="56091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127002</xdr:rowOff>
    </xdr:from>
    <xdr:to>
      <xdr:col>5</xdr:col>
      <xdr:colOff>1370040</xdr:colOff>
      <xdr:row>3</xdr:row>
      <xdr:rowOff>42333</xdr:rowOff>
    </xdr:to>
    <xdr:pic>
      <xdr:nvPicPr>
        <xdr:cNvPr id="3" name="Imagen 2" descr="Pluspetrol S.A. (Pluspetrol Argentina) - BNamericas">
          <a:extLst>
            <a:ext uri="{FF2B5EF4-FFF2-40B4-BE49-F238E27FC236}">
              <a16:creationId xmlns:a16="http://schemas.microsoft.com/office/drawing/2014/main" id="{079B0A19-2BCF-42FF-AE9D-E92C3991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27002"/>
          <a:ext cx="1370040" cy="486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62BA-89A1-4627-B3C4-25962626AC58}">
  <sheetPr>
    <pageSetUpPr fitToPage="1"/>
  </sheetPr>
  <dimension ref="A1:P78"/>
  <sheetViews>
    <sheetView showGridLines="0" tabSelected="1" topLeftCell="E1" zoomScale="90" zoomScaleNormal="90" workbookViewId="0">
      <selection activeCell="G8" sqref="G8"/>
    </sheetView>
  </sheetViews>
  <sheetFormatPr baseColWidth="10" defaultColWidth="9.140625" defaultRowHeight="0" customHeight="1" zeroHeight="1"/>
  <cols>
    <col min="1" max="1" width="5.140625" style="5" hidden="1" customWidth="1"/>
    <col min="2" max="2" width="32.5703125" style="5" hidden="1" customWidth="1"/>
    <col min="3" max="3" width="14.5703125" style="5" hidden="1" customWidth="1"/>
    <col min="4" max="4" width="28.85546875" style="5" hidden="1" customWidth="1"/>
    <col min="5" max="5" width="10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4" width="17.5703125" style="5" hidden="1" customWidth="1"/>
    <col min="15" max="15" width="18.5703125" style="5" hidden="1" customWidth="1"/>
    <col min="16" max="16" width="18.140625" style="5" hidden="1" customWidth="1"/>
    <col min="17" max="17" width="10.42578125" style="5" customWidth="1"/>
    <col min="18" max="16384" width="9.140625" style="5"/>
  </cols>
  <sheetData>
    <row r="1" spans="1:16" ht="1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6" ht="1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6" t="s">
        <v>22</v>
      </c>
      <c r="G5" s="6"/>
      <c r="H5" s="6"/>
      <c r="I5" s="6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6" t="s">
        <v>21</v>
      </c>
      <c r="G6" s="2"/>
      <c r="H6" s="2"/>
      <c r="I6" s="2"/>
      <c r="J6" s="2"/>
      <c r="K6" s="2"/>
      <c r="L6" s="2"/>
      <c r="M6" s="4"/>
    </row>
    <row r="7" spans="1:16" ht="10.5" customHeight="1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7" t="s">
        <v>0</v>
      </c>
      <c r="G8" s="8">
        <v>100</v>
      </c>
      <c r="H8" s="2"/>
      <c r="I8" s="2"/>
      <c r="J8" s="56" t="s">
        <v>1</v>
      </c>
      <c r="K8" s="56"/>
      <c r="L8" s="9">
        <f>+XIRR(L14:L20,F14:F20)</f>
        <v>7.3673775792121907E-2</v>
      </c>
      <c r="M8" s="10"/>
    </row>
    <row r="9" spans="1:16" ht="15">
      <c r="A9" s="1"/>
      <c r="B9" s="1"/>
      <c r="C9" s="1"/>
      <c r="D9" s="1"/>
      <c r="E9" s="2"/>
      <c r="F9" s="7" t="s">
        <v>2</v>
      </c>
      <c r="G9" s="11">
        <v>45777</v>
      </c>
      <c r="H9" s="2"/>
      <c r="I9" s="2"/>
      <c r="J9" s="56" t="s">
        <v>20</v>
      </c>
      <c r="K9" s="56"/>
      <c r="L9" s="9">
        <f>+(((1+L8)^(1/2)-1)*2)</f>
        <v>7.2364616366648704E-2</v>
      </c>
      <c r="M9" s="12"/>
    </row>
    <row r="10" spans="1:16" ht="15">
      <c r="A10" s="1"/>
      <c r="B10" s="1"/>
      <c r="C10" s="1"/>
      <c r="D10" s="1"/>
      <c r="E10" s="2"/>
      <c r="F10" s="51" t="s">
        <v>3</v>
      </c>
      <c r="G10" s="50">
        <v>7.2499999999999995E-2</v>
      </c>
      <c r="H10" s="2"/>
      <c r="I10" s="2"/>
      <c r="J10" s="56" t="s">
        <v>4</v>
      </c>
      <c r="K10" s="56"/>
      <c r="L10" s="13">
        <f>+SUM(P15:P20)/(365/12)</f>
        <v>33.149958529650903</v>
      </c>
      <c r="M10" s="12"/>
    </row>
    <row r="11" spans="1:16" ht="15">
      <c r="A11" s="1"/>
      <c r="B11" s="1"/>
      <c r="C11" s="1"/>
      <c r="D11" s="1"/>
      <c r="E11" s="2"/>
      <c r="F11" s="51" t="s">
        <v>5</v>
      </c>
      <c r="G11" s="14">
        <v>1.0000000031399316</v>
      </c>
      <c r="I11" s="6"/>
      <c r="J11" s="56" t="s">
        <v>18</v>
      </c>
      <c r="K11" s="56"/>
      <c r="L11" s="13">
        <f>+SUM(P15:P20)/(365)</f>
        <v>2.7624965441375755</v>
      </c>
      <c r="M11" s="15"/>
      <c r="N11" s="16"/>
    </row>
    <row r="12" spans="1:16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6" s="25" customFormat="1" ht="28.5" customHeight="1" thickBot="1">
      <c r="A13" s="18"/>
      <c r="B13" s="19"/>
      <c r="C13" s="19" t="s">
        <v>6</v>
      </c>
      <c r="D13" s="19"/>
      <c r="E13" s="20"/>
      <c r="F13" s="21" t="s">
        <v>7</v>
      </c>
      <c r="G13" s="21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13</v>
      </c>
      <c r="M13" s="23"/>
      <c r="N13" s="24" t="s">
        <v>14</v>
      </c>
      <c r="O13" s="24" t="s">
        <v>15</v>
      </c>
      <c r="P13" s="24" t="s">
        <v>16</v>
      </c>
    </row>
    <row r="14" spans="1:16" ht="15">
      <c r="A14" s="1"/>
      <c r="B14" s="26">
        <f>+G9</f>
        <v>45777</v>
      </c>
      <c r="C14" s="27"/>
      <c r="D14" s="26">
        <f>+B14</f>
        <v>45777</v>
      </c>
      <c r="F14" s="28">
        <f>+G9</f>
        <v>45777</v>
      </c>
      <c r="G14" s="52">
        <f>+G8</f>
        <v>100</v>
      </c>
      <c r="H14" s="30"/>
      <c r="I14" s="29"/>
      <c r="J14" s="52"/>
      <c r="K14" s="52">
        <f>+G14-J14</f>
        <v>100</v>
      </c>
      <c r="L14" s="31">
        <f>-G14*G11</f>
        <v>-100.00000031399317</v>
      </c>
      <c r="M14" s="32"/>
      <c r="N14" s="33"/>
      <c r="O14" s="33"/>
    </row>
    <row r="15" spans="1:16" ht="15">
      <c r="A15" s="1"/>
      <c r="B15" s="26">
        <f>+EDATE(B14,9)</f>
        <v>46052</v>
      </c>
      <c r="C15" s="27"/>
      <c r="D15" s="34">
        <f t="shared" ref="D15:D18" si="0">+B15</f>
        <v>46052</v>
      </c>
      <c r="E15" s="54"/>
      <c r="F15" s="35">
        <f>+D15</f>
        <v>46052</v>
      </c>
      <c r="G15" s="52">
        <f>K14</f>
        <v>100</v>
      </c>
      <c r="H15" s="36">
        <f>B15-B14</f>
        <v>275</v>
      </c>
      <c r="I15" s="29">
        <f>G15*$G$10*(H15/365)</f>
        <v>5.462328767123287</v>
      </c>
      <c r="J15" s="52"/>
      <c r="K15" s="52">
        <f>+G15-J15</f>
        <v>100</v>
      </c>
      <c r="L15" s="31">
        <f t="shared" ref="L15" si="1">+I15+J15</f>
        <v>5.462328767123287</v>
      </c>
      <c r="M15" s="32"/>
      <c r="N15" s="37">
        <f>+L15/(1+$L$8)^((O15)/365)</f>
        <v>5.1774730796778758</v>
      </c>
      <c r="O15" s="38">
        <f>+F15-$F$14</f>
        <v>275</v>
      </c>
      <c r="P15" s="39">
        <f t="shared" ref="P15:P20" si="2">+(N15/$N$21)*O15</f>
        <v>14.238051031871271</v>
      </c>
    </row>
    <row r="16" spans="1:16" ht="15">
      <c r="A16" s="1"/>
      <c r="B16" s="26">
        <f>+EDATE(B15,6)</f>
        <v>46233</v>
      </c>
      <c r="C16" s="27"/>
      <c r="D16" s="34">
        <f t="shared" si="0"/>
        <v>46233</v>
      </c>
      <c r="E16" s="54"/>
      <c r="F16" s="35">
        <f t="shared" ref="F16:F20" si="3">+D16</f>
        <v>46233</v>
      </c>
      <c r="G16" s="52">
        <f>K15</f>
        <v>100</v>
      </c>
      <c r="H16" s="36">
        <f t="shared" ref="H16:H19" si="4">B16-B15</f>
        <v>181</v>
      </c>
      <c r="I16" s="29">
        <f t="shared" ref="I16:I20" si="5">G16*$G$10*(H16/365)</f>
        <v>3.5952054794520545</v>
      </c>
      <c r="J16" s="52"/>
      <c r="K16" s="52">
        <f>+G16-J16</f>
        <v>100</v>
      </c>
      <c r="L16" s="31">
        <f>+I16+J16</f>
        <v>3.5952054794520545</v>
      </c>
      <c r="M16" s="32"/>
      <c r="N16" s="37">
        <f t="shared" ref="N16:N20" si="6">+L16/(1+$L$8)^((O16)/365)</f>
        <v>3.2896858765467116</v>
      </c>
      <c r="O16" s="38">
        <f>+F16-$F$14</f>
        <v>456</v>
      </c>
      <c r="P16" s="39">
        <f t="shared" si="2"/>
        <v>15.00096766317283</v>
      </c>
    </row>
    <row r="17" spans="1:16" ht="15">
      <c r="A17" s="1"/>
      <c r="B17" s="26">
        <f t="shared" ref="B17:B18" si="7">+EDATE(B16,6)</f>
        <v>46417</v>
      </c>
      <c r="C17" s="27"/>
      <c r="D17" s="34">
        <f>+B17+2</f>
        <v>46419</v>
      </c>
      <c r="E17" s="54"/>
      <c r="F17" s="35">
        <f t="shared" si="3"/>
        <v>46419</v>
      </c>
      <c r="G17" s="52">
        <f t="shared" ref="G17" si="8">K16</f>
        <v>100</v>
      </c>
      <c r="H17" s="36">
        <f t="shared" si="4"/>
        <v>184</v>
      </c>
      <c r="I17" s="29">
        <f>G17*$G$10*(H17/365)</f>
        <v>3.6547945205479451</v>
      </c>
      <c r="J17" s="52"/>
      <c r="K17" s="52">
        <f>+G17-J17</f>
        <v>100</v>
      </c>
      <c r="L17" s="31">
        <f t="shared" ref="L17:L20" si="9">+I17+J17</f>
        <v>3.6547945205479451</v>
      </c>
      <c r="M17" s="32"/>
      <c r="N17" s="37">
        <f t="shared" si="6"/>
        <v>3.225235782026064</v>
      </c>
      <c r="O17" s="38">
        <f t="shared" ref="O17:O20" si="10">+F17-$F$14</f>
        <v>642</v>
      </c>
      <c r="P17" s="39">
        <f t="shared" si="2"/>
        <v>20.706013811873312</v>
      </c>
    </row>
    <row r="18" spans="1:16" ht="15">
      <c r="A18" s="1"/>
      <c r="B18" s="26">
        <f t="shared" si="7"/>
        <v>46598</v>
      </c>
      <c r="C18" s="27"/>
      <c r="D18" s="34">
        <f t="shared" si="0"/>
        <v>46598</v>
      </c>
      <c r="E18" s="54"/>
      <c r="F18" s="35">
        <f t="shared" si="3"/>
        <v>46598</v>
      </c>
      <c r="G18" s="52">
        <f>K17</f>
        <v>100</v>
      </c>
      <c r="H18" s="36">
        <f t="shared" si="4"/>
        <v>181</v>
      </c>
      <c r="I18" s="29">
        <f t="shared" si="5"/>
        <v>3.5952054794520545</v>
      </c>
      <c r="J18" s="52"/>
      <c r="K18" s="52">
        <f t="shared" ref="K18:K20" si="11">+G18-J18</f>
        <v>100</v>
      </c>
      <c r="L18" s="31">
        <f t="shared" si="9"/>
        <v>3.5952054794520545</v>
      </c>
      <c r="M18" s="32"/>
      <c r="N18" s="37">
        <f t="shared" si="6"/>
        <v>3.0639528977222965</v>
      </c>
      <c r="O18" s="38">
        <f t="shared" si="10"/>
        <v>821</v>
      </c>
      <c r="P18" s="39">
        <f t="shared" si="2"/>
        <v>25.15505340117608</v>
      </c>
    </row>
    <row r="19" spans="1:16" ht="15">
      <c r="A19" s="1"/>
      <c r="B19" s="26">
        <f>+EDATE(B18,6)</f>
        <v>46782</v>
      </c>
      <c r="C19" s="27"/>
      <c r="D19" s="34">
        <f>+B19+1</f>
        <v>46783</v>
      </c>
      <c r="E19" s="54"/>
      <c r="F19" s="35">
        <f t="shared" si="3"/>
        <v>46783</v>
      </c>
      <c r="G19" s="52">
        <f t="shared" ref="G19" si="12">K18</f>
        <v>100</v>
      </c>
      <c r="H19" s="36">
        <f t="shared" si="4"/>
        <v>184</v>
      </c>
      <c r="I19" s="29">
        <f t="shared" si="5"/>
        <v>3.6547945205479451</v>
      </c>
      <c r="J19" s="52"/>
      <c r="K19" s="52">
        <f t="shared" si="11"/>
        <v>100</v>
      </c>
      <c r="L19" s="31">
        <f t="shared" si="9"/>
        <v>3.6547945205479451</v>
      </c>
      <c r="M19" s="32"/>
      <c r="N19" s="37">
        <f t="shared" si="6"/>
        <v>3.0045103571249903</v>
      </c>
      <c r="O19" s="38">
        <f t="shared" si="10"/>
        <v>1006</v>
      </c>
      <c r="P19" s="39">
        <f t="shared" si="2"/>
        <v>30.225374325901903</v>
      </c>
    </row>
    <row r="20" spans="1:16" ht="15.75" thickBot="1">
      <c r="A20" s="1"/>
      <c r="B20" s="26">
        <f>+EDATE(B19,3)</f>
        <v>46873</v>
      </c>
      <c r="C20" s="27"/>
      <c r="D20" s="34">
        <f>+B20+2</f>
        <v>46875</v>
      </c>
      <c r="E20" s="54"/>
      <c r="F20" s="35">
        <f t="shared" si="3"/>
        <v>46875</v>
      </c>
      <c r="G20" s="52">
        <f>K19</f>
        <v>100</v>
      </c>
      <c r="H20" s="36">
        <f>D20-B19</f>
        <v>93</v>
      </c>
      <c r="I20" s="29">
        <f t="shared" si="5"/>
        <v>1.8472602739726025</v>
      </c>
      <c r="J20" s="52">
        <f>G8</f>
        <v>100</v>
      </c>
      <c r="K20" s="52">
        <f t="shared" si="11"/>
        <v>0</v>
      </c>
      <c r="L20" s="31">
        <f t="shared" si="9"/>
        <v>101.84726027397261</v>
      </c>
      <c r="M20" s="32"/>
      <c r="N20" s="37">
        <f t="shared" si="6"/>
        <v>82.239141566131664</v>
      </c>
      <c r="O20" s="38">
        <f t="shared" si="10"/>
        <v>1098</v>
      </c>
      <c r="P20" s="39">
        <f t="shared" si="2"/>
        <v>902.98577837621963</v>
      </c>
    </row>
    <row r="21" spans="1:16" ht="15.75" thickBot="1">
      <c r="A21" s="1"/>
      <c r="B21" s="40"/>
      <c r="C21" s="27"/>
      <c r="D21" s="1"/>
      <c r="E21" s="54"/>
      <c r="F21" s="57" t="s">
        <v>17</v>
      </c>
      <c r="G21" s="58"/>
      <c r="H21" s="59"/>
      <c r="I21" s="41">
        <f>SUM(I15:I18)</f>
        <v>16.30753424657534</v>
      </c>
      <c r="J21" s="53">
        <f>SUM(J15:J20)</f>
        <v>100</v>
      </c>
      <c r="K21" s="53"/>
      <c r="L21" s="42">
        <f>SUM(L14:L20)</f>
        <v>21.809588727102721</v>
      </c>
      <c r="M21" s="4"/>
      <c r="N21" s="43">
        <f>SUM(N15:N20)</f>
        <v>99.999999559229607</v>
      </c>
    </row>
    <row r="22" spans="1:16" ht="15" customHeight="1">
      <c r="E22" s="54"/>
    </row>
    <row r="23" spans="1:16" s="47" customFormat="1" ht="37.5" customHeight="1">
      <c r="E23" s="48"/>
      <c r="F23" s="55" t="s">
        <v>19</v>
      </c>
      <c r="G23" s="55"/>
      <c r="H23" s="55"/>
      <c r="I23" s="55"/>
      <c r="J23" s="55"/>
      <c r="K23" s="55"/>
      <c r="L23" s="55"/>
      <c r="M23" s="49"/>
    </row>
    <row r="24" spans="1:16" ht="15" customHeight="1"/>
    <row r="25" spans="1:16" ht="15" customHeight="1"/>
    <row r="26" spans="1:16" ht="15" customHeight="1"/>
    <row r="27" spans="1:16" ht="15" customHeight="1"/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</sheetData>
  <sheetProtection algorithmName="SHA-512" hashValue="mBsC3UOxUpc+VUnWW/kCEz6PI+kFmRYSwGjm4FE8kRYRsooAwLcVW4qH1qYX6budZxdnPIi1FSkk0EYUL7tYpA==" saltValue="691qDNUBFygxfI42zY9kUQ==" spinCount="100000" sheet="1" selectLockedCells="1"/>
  <mergeCells count="6">
    <mergeCell ref="F23:L23"/>
    <mergeCell ref="J8:K8"/>
    <mergeCell ref="J9:K9"/>
    <mergeCell ref="J10:K10"/>
    <mergeCell ref="J11:K11"/>
    <mergeCell ref="F21:H2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Pluspetrol</vt:lpstr>
      <vt:lpstr>Pluspetrol!Área_de_impresión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2021-09-15T11:57:40Z</dcterms:created>
  <dcterms:modified xsi:type="dcterms:W3CDTF">2025-04-29T13:28:27Z</dcterms:modified>
</cp:coreProperties>
</file>