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VII\"/>
    </mc:Choice>
  </mc:AlternateContent>
  <xr:revisionPtr revIDLastSave="0" documentId="13_ncr:1_{E7761D2B-6CF9-48B1-BE88-03C239ED3074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O33" i="1"/>
  <c r="O32" i="1"/>
  <c r="B30" i="1"/>
  <c r="Q26" i="1" l="1"/>
  <c r="P26" i="1"/>
  <c r="S20" i="1"/>
  <c r="F20" i="1"/>
  <c r="G20" i="1" s="1"/>
  <c r="Q24" i="1"/>
  <c r="M20" i="1"/>
  <c r="AB33" i="1"/>
  <c r="AB34" i="1"/>
  <c r="AB35" i="1"/>
  <c r="AB36" i="1"/>
  <c r="O34" i="1" l="1"/>
  <c r="O22" i="1" l="1"/>
  <c r="O23" i="1"/>
  <c r="O24" i="1"/>
  <c r="O25" i="1"/>
  <c r="O26" i="1"/>
  <c r="O27" i="1"/>
  <c r="O28" i="1"/>
  <c r="O29" i="1"/>
  <c r="O30" i="1"/>
  <c r="O21" i="1"/>
  <c r="F13" i="1" l="1"/>
  <c r="D20" i="1"/>
  <c r="O19" i="1"/>
  <c r="AC20" i="1" l="1"/>
  <c r="AC19" i="1" l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U20" i="1"/>
  <c r="G24" i="1" l="1"/>
  <c r="S19" i="1" l="1"/>
  <c r="J20" i="1" s="1"/>
  <c r="Q20" i="1" l="1"/>
  <c r="AB19" i="1"/>
  <c r="U31" i="1"/>
  <c r="U32" i="1"/>
  <c r="U33" i="1"/>
  <c r="U34" i="1"/>
  <c r="U19" i="1" l="1"/>
  <c r="Y19" i="1"/>
  <c r="G21" i="1"/>
  <c r="G22" i="1"/>
  <c r="G23" i="1"/>
  <c r="G25" i="1"/>
  <c r="G26" i="1"/>
  <c r="W26" i="1" s="1"/>
  <c r="V26" i="1" s="1"/>
  <c r="G27" i="1"/>
  <c r="G28" i="1"/>
  <c r="G29" i="1"/>
  <c r="G30" i="1"/>
  <c r="G31" i="1"/>
  <c r="G32" i="1"/>
  <c r="G33" i="1"/>
  <c r="G34" i="1"/>
  <c r="G35" i="1"/>
  <c r="G36" i="1"/>
  <c r="G37" i="1"/>
  <c r="M32" i="1"/>
  <c r="M33" i="1"/>
  <c r="M34" i="1"/>
  <c r="M35" i="1"/>
  <c r="M36" i="1"/>
  <c r="U21" i="1"/>
  <c r="M21" i="1" s="1"/>
  <c r="M31" i="1"/>
  <c r="X26" i="1" l="1"/>
  <c r="Y26" i="1"/>
  <c r="W20" i="1"/>
  <c r="H20" i="1"/>
  <c r="AC23" i="1"/>
  <c r="U22" i="1"/>
  <c r="M22" i="1" s="1"/>
  <c r="Y20" i="1"/>
  <c r="Y21" i="1" s="1"/>
  <c r="H22" i="1" s="1"/>
  <c r="J21" i="1"/>
  <c r="AC31" i="1"/>
  <c r="AC22" i="1"/>
  <c r="AC21" i="1"/>
  <c r="H21" i="1" l="1"/>
  <c r="X20" i="1"/>
  <c r="W22" i="1"/>
  <c r="X22" i="1" s="1"/>
  <c r="AA22" i="1" s="1"/>
  <c r="W21" i="1"/>
  <c r="X21" i="1" s="1"/>
  <c r="Y22" i="1"/>
  <c r="Y23" i="1" s="1"/>
  <c r="Y24" i="1" s="1"/>
  <c r="U23" i="1"/>
  <c r="M23" i="1" s="1"/>
  <c r="Q21" i="1"/>
  <c r="S21" i="1"/>
  <c r="J22" i="1" s="1"/>
  <c r="R21" i="1"/>
  <c r="AB21" i="1" s="1"/>
  <c r="I20" i="1"/>
  <c r="R20" i="1"/>
  <c r="K20" i="1"/>
  <c r="AA20" i="1" l="1"/>
  <c r="AB20" i="1"/>
  <c r="I21" i="1"/>
  <c r="I22" i="1" s="1"/>
  <c r="W24" i="1"/>
  <c r="X24" i="1" s="1"/>
  <c r="AA24" i="1" s="1"/>
  <c r="W23" i="1"/>
  <c r="X23" i="1" s="1"/>
  <c r="AA23" i="1" s="1"/>
  <c r="H23" i="1"/>
  <c r="H24" i="1"/>
  <c r="W25" i="1"/>
  <c r="X25" i="1" s="1"/>
  <c r="AA25" i="1" s="1"/>
  <c r="H25" i="1"/>
  <c r="Y25" i="1"/>
  <c r="H26" i="1" s="1"/>
  <c r="U24" i="1"/>
  <c r="M24" i="1" s="1"/>
  <c r="AC24" i="1"/>
  <c r="Q22" i="1"/>
  <c r="R22" i="1" s="1"/>
  <c r="AB22" i="1" s="1"/>
  <c r="S22" i="1"/>
  <c r="Q23" i="1" s="1"/>
  <c r="R23" i="1" s="1"/>
  <c r="AB23" i="1" s="1"/>
  <c r="K21" i="1"/>
  <c r="K22" i="1" s="1"/>
  <c r="AA21" i="1"/>
  <c r="I23" i="1" l="1"/>
  <c r="I24" i="1" s="1"/>
  <c r="I25" i="1" s="1"/>
  <c r="U25" i="1"/>
  <c r="M25" i="1" s="1"/>
  <c r="AC25" i="1"/>
  <c r="J23" i="1"/>
  <c r="K23" i="1" s="1"/>
  <c r="S23" i="1"/>
  <c r="I26" i="1" l="1"/>
  <c r="U26" i="1"/>
  <c r="M26" i="1" s="1"/>
  <c r="AC26" i="1"/>
  <c r="R24" i="1"/>
  <c r="J24" i="1"/>
  <c r="K24" i="1" s="1"/>
  <c r="S24" i="1"/>
  <c r="H27" i="1" l="1"/>
  <c r="AB24" i="1"/>
  <c r="AA26" i="1"/>
  <c r="W27" i="1"/>
  <c r="U27" i="1"/>
  <c r="AC27" i="1"/>
  <c r="Q25" i="1"/>
  <c r="R25" i="1" s="1"/>
  <c r="AB25" i="1" s="1"/>
  <c r="S25" i="1"/>
  <c r="J25" i="1"/>
  <c r="V27" i="1" l="1"/>
  <c r="Y27" i="1" s="1"/>
  <c r="M27" i="1"/>
  <c r="I27" i="1"/>
  <c r="U28" i="1"/>
  <c r="M28" i="1" s="1"/>
  <c r="AC28" i="1"/>
  <c r="K25" i="1"/>
  <c r="J26" i="1"/>
  <c r="X27" i="1" l="1"/>
  <c r="AA27" i="1" s="1"/>
  <c r="H28" i="1"/>
  <c r="W28" i="1"/>
  <c r="V28" i="1" s="1"/>
  <c r="U29" i="1"/>
  <c r="AC29" i="1"/>
  <c r="K26" i="1"/>
  <c r="R26" i="1"/>
  <c r="S26" i="1"/>
  <c r="I28" i="1" l="1"/>
  <c r="M29" i="1"/>
  <c r="U30" i="1"/>
  <c r="M30" i="1" s="1"/>
  <c r="AC30" i="1"/>
  <c r="AB26" i="1"/>
  <c r="Q27" i="1"/>
  <c r="P27" i="1" s="1"/>
  <c r="J27" i="1"/>
  <c r="Y28" i="1"/>
  <c r="X28" i="1"/>
  <c r="H29" i="1" l="1"/>
  <c r="K27" i="1"/>
  <c r="R27" i="1"/>
  <c r="S27" i="1"/>
  <c r="W29" i="1"/>
  <c r="V29" i="1" s="1"/>
  <c r="AA28" i="1"/>
  <c r="Y29" i="1" l="1"/>
  <c r="W30" i="1" s="1"/>
  <c r="AB27" i="1"/>
  <c r="Q28" i="1"/>
  <c r="P28" i="1" s="1"/>
  <c r="J28" i="1"/>
  <c r="X29" i="1"/>
  <c r="I29" i="1"/>
  <c r="V30" i="1" l="1"/>
  <c r="X30" i="1" s="1"/>
  <c r="H30" i="1"/>
  <c r="I30" i="1" s="1"/>
  <c r="K28" i="1"/>
  <c r="R28" i="1"/>
  <c r="S28" i="1"/>
  <c r="AA29" i="1"/>
  <c r="Y30" i="1" l="1"/>
  <c r="AB28" i="1"/>
  <c r="J29" i="1"/>
  <c r="Q29" i="1"/>
  <c r="P29" i="1" s="1"/>
  <c r="W31" i="1" l="1"/>
  <c r="V31" i="1" s="1"/>
  <c r="H31" i="1"/>
  <c r="AA30" i="1"/>
  <c r="S29" i="1"/>
  <c r="R29" i="1"/>
  <c r="K29" i="1"/>
  <c r="I31" i="1" l="1"/>
  <c r="X31" i="1"/>
  <c r="C6" i="1" s="1"/>
  <c r="Y31" i="1"/>
  <c r="AA31" i="1"/>
  <c r="W32" i="1"/>
  <c r="V32" i="1" s="1"/>
  <c r="Y32" i="1" s="1"/>
  <c r="H32" i="1"/>
  <c r="J30" i="1"/>
  <c r="Q30" i="1"/>
  <c r="P30" i="1" s="1"/>
  <c r="AB29" i="1"/>
  <c r="I32" i="1" l="1"/>
  <c r="X32" i="1"/>
  <c r="AA32" i="1" s="1"/>
  <c r="W33" i="1"/>
  <c r="V33" i="1" s="1"/>
  <c r="H33" i="1"/>
  <c r="K30" i="1"/>
  <c r="R30" i="1"/>
  <c r="C5" i="1" l="1"/>
  <c r="V7" i="1" s="1"/>
  <c r="AA19" i="1" s="1"/>
  <c r="W12" i="1" s="1"/>
  <c r="S30" i="1"/>
  <c r="I33" i="1"/>
  <c r="Y33" i="1"/>
  <c r="AB30" i="1"/>
  <c r="W34" i="1" l="1"/>
  <c r="V34" i="1" s="1"/>
  <c r="J31" i="1"/>
  <c r="Q31" i="1"/>
  <c r="P31" i="1" s="1"/>
  <c r="W13" i="1"/>
  <c r="W14" i="1" s="1"/>
  <c r="H34" i="1"/>
  <c r="X33" i="1"/>
  <c r="AA33" i="1" s="1"/>
  <c r="W38" i="1" l="1"/>
  <c r="K31" i="1"/>
  <c r="I34" i="1"/>
  <c r="R31" i="1" l="1"/>
  <c r="S31" i="1"/>
  <c r="Y34" i="1"/>
  <c r="H35" i="1" s="1"/>
  <c r="V38" i="1"/>
  <c r="X34" i="1"/>
  <c r="Q32" i="1" l="1"/>
  <c r="P32" i="1" s="1"/>
  <c r="J32" i="1"/>
  <c r="AB31" i="1"/>
  <c r="AA34" i="1"/>
  <c r="X38" i="1"/>
  <c r="I35" i="1"/>
  <c r="J34" i="1"/>
  <c r="K32" i="1" l="1"/>
  <c r="Q38" i="1"/>
  <c r="H36" i="1"/>
  <c r="J35" i="1"/>
  <c r="S32" i="1" l="1"/>
  <c r="J33" i="1" s="1"/>
  <c r="K33" i="1" s="1"/>
  <c r="K34" i="1" s="1"/>
  <c r="K35" i="1" s="1"/>
  <c r="R32" i="1"/>
  <c r="R38" i="1" s="1"/>
  <c r="P38" i="1"/>
  <c r="H37" i="1"/>
  <c r="H40" i="1" s="1"/>
  <c r="AA36" i="1"/>
  <c r="AA35" i="1"/>
  <c r="I36" i="1"/>
  <c r="J36" i="1"/>
  <c r="AB32" i="1" l="1"/>
  <c r="AB37" i="1" s="1"/>
  <c r="K36" i="1"/>
  <c r="AD35" i="1"/>
  <c r="AD34" i="1"/>
  <c r="AD36" i="1"/>
  <c r="AD33" i="1"/>
  <c r="AD19" i="1"/>
  <c r="AD32" i="1"/>
  <c r="AD30" i="1" l="1"/>
  <c r="AD28" i="1"/>
  <c r="AD26" i="1"/>
  <c r="AD24" i="1"/>
  <c r="AD22" i="1"/>
  <c r="AD20" i="1"/>
  <c r="AD29" i="1"/>
  <c r="AD27" i="1"/>
  <c r="AD25" i="1"/>
  <c r="AD23" i="1"/>
  <c r="AD21" i="1"/>
  <c r="AD31" i="1"/>
  <c r="AD37" i="1"/>
  <c r="AE36" i="1" s="1"/>
  <c r="AE33" i="1" l="1"/>
  <c r="AE32" i="1"/>
  <c r="AE30" i="1"/>
  <c r="AE29" i="1"/>
  <c r="AE27" i="1"/>
  <c r="AE25" i="1"/>
  <c r="AE23" i="1"/>
  <c r="AE21" i="1"/>
  <c r="AE22" i="1"/>
  <c r="AE26" i="1"/>
  <c r="AE20" i="1"/>
  <c r="AE24" i="1"/>
  <c r="AE28" i="1"/>
  <c r="AE31" i="1"/>
  <c r="AE35" i="1"/>
  <c r="AE34" i="1"/>
  <c r="AE19" i="1"/>
  <c r="P10" i="1" l="1"/>
</calcChain>
</file>

<file path=xl/sharedStrings.xml><?xml version="1.0" encoding="utf-8"?>
<sst xmlns="http://schemas.openxmlformats.org/spreadsheetml/2006/main" count="55" uniqueCount="43">
  <si>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</si>
  <si>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</si>
  <si>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</si>
  <si>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</si>
  <si>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</si>
  <si>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</si>
  <si>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</si>
  <si>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</si>
  <si>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</si>
  <si>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</si>
  <si>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</si>
  <si>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</si>
  <si>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</si>
  <si>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</si>
  <si>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</si>
  <si>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</si>
  <si>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</si>
  <si>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</si>
  <si>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</si>
  <si>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</si>
  <si>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</si>
  <si>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</si>
  <si>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</si>
  <si>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</si>
  <si>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</si>
  <si>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</si>
  <si>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</si>
  <si>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</si>
  <si>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</si>
  <si>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</si>
  <si>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</si>
  <si>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</si>
  <si>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</si>
  <si>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</si>
  <si>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</si>
  <si>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</si>
  <si>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Rendimiento ajustado s/ Tamar proyectada (TIR)</t>
  </si>
  <si>
    <t xml:space="preserve">TAMAR proyectada </t>
  </si>
  <si>
    <t>INGRESAR TAMAR PROYECTADA</t>
  </si>
  <si>
    <t>Margen sobre Tamar con rendimiento ajustado</t>
  </si>
  <si>
    <t>Flujo teórico según Tamar proyectada</t>
  </si>
  <si>
    <t>TAMAR Proyectada</t>
  </si>
  <si>
    <t>FF Mercado Crédito XXXVII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</si>
</sst>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_ &quot;$&quot;\ * #,##0_ ;_ &quot;$&quot;\ * \-#,##0_ ;_ &quot;$&quot;\ * &quot;-&quot;_ ;_ @_ "/>
    <numFmt numFmtId="173" formatCode="_ * #,##0.0000_ ;_ * \-#,##0.0000_ ;_ * &quot;-&quot;??_ ;_ @_ "/>
    <numFmt numFmtId="174" formatCode="0.0000%"/>
    <numFmt numFmtId="175" formatCode="#,##0\ &quot;días&quot;"/>
    <numFmt numFmtId="176" formatCode="[$-F800]dddd\,\ mmmm\ dd\,\ yyyy"/>
    <numFmt numFmtId="177" formatCode="#,##0\ &quot;bps&quot;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7" fontId="10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0" fillId="0" borderId="0"/>
    <xf numFmtId="9" fontId="10" fillId="0" borderId="0" applyFont="0" applyFill="0" applyBorder="0" applyAlignment="0" applyProtection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9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9" fillId="0" borderId="0"/>
    <xf numFmtId="0" fontId="34" fillId="0" borderId="0"/>
    <xf numFmtId="0" fontId="35" fillId="11" borderId="0"/>
    <xf numFmtId="0" fontId="33" fillId="0" borderId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9" fontId="9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6" fillId="2" borderId="0" xfId="3" applyFill="1" applyProtection="1">
      <protection hidden="1"/>
    </xf>
    <xf numFmtId="0" fontId="7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3" applyFill="1" applyAlignment="1" applyProtection="1">
      <alignment vertical="center"/>
      <protection hidden="1"/>
    </xf>
    <xf numFmtId="0" fontId="8" fillId="2" borderId="0" xfId="3" applyFont="1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4" borderId="1" xfId="3" applyFont="1" applyFill="1" applyBorder="1" applyAlignment="1" applyProtection="1">
      <alignment horizontal="center" vertical="center"/>
      <protection hidden="1"/>
    </xf>
    <xf numFmtId="169" fontId="12" fillId="5" borderId="2" xfId="6" applyNumberFormat="1" applyFont="1" applyFill="1" applyBorder="1" applyAlignment="1" applyProtection="1">
      <alignment vertical="center"/>
      <protection hidden="1"/>
    </xf>
    <xf numFmtId="0" fontId="14" fillId="2" borderId="0" xfId="3" applyFont="1" applyFill="1" applyAlignment="1" applyProtection="1">
      <alignment horizontal="left" vertical="center"/>
      <protection hidden="1"/>
    </xf>
    <xf numFmtId="169" fontId="14" fillId="6" borderId="0" xfId="6" applyNumberFormat="1" applyFont="1" applyFill="1" applyBorder="1" applyAlignment="1" applyProtection="1">
      <alignment vertical="center"/>
      <protection hidden="1"/>
    </xf>
    <xf numFmtId="0" fontId="12" fillId="2" borderId="0" xfId="3" applyFont="1" applyFill="1" applyAlignment="1" applyProtection="1">
      <alignment horizontal="center"/>
      <protection hidden="1"/>
    </xf>
    <xf numFmtId="169" fontId="12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9" fillId="2" borderId="0" xfId="3" applyFont="1" applyFill="1" applyProtection="1">
      <protection hidden="1"/>
    </xf>
    <xf numFmtId="0" fontId="13" fillId="2" borderId="0" xfId="3" applyFont="1" applyFill="1" applyProtection="1">
      <protection hidden="1"/>
    </xf>
    <xf numFmtId="0" fontId="11" fillId="4" borderId="3" xfId="3" applyFont="1" applyFill="1" applyBorder="1" applyAlignment="1" applyProtection="1">
      <alignment horizontal="center" vertical="center"/>
      <protection hidden="1"/>
    </xf>
    <xf numFmtId="0" fontId="11" fillId="4" borderId="4" xfId="3" applyFont="1" applyFill="1" applyBorder="1" applyProtection="1"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6" fillId="2" borderId="0" xfId="3" applyFont="1" applyFill="1" applyProtection="1">
      <protection hidden="1"/>
    </xf>
    <xf numFmtId="0" fontId="14" fillId="2" borderId="0" xfId="3" applyFont="1" applyFill="1" applyAlignment="1" applyProtection="1">
      <alignment horizontal="left"/>
      <protection hidden="1"/>
    </xf>
    <xf numFmtId="169" fontId="14" fillId="6" borderId="0" xfId="6" applyNumberFormat="1" applyFont="1" applyFill="1" applyBorder="1" applyProtection="1">
      <protection hidden="1"/>
    </xf>
    <xf numFmtId="0" fontId="12" fillId="5" borderId="5" xfId="3" applyFont="1" applyFill="1" applyBorder="1" applyAlignment="1" applyProtection="1">
      <alignment horizontal="center"/>
      <protection hidden="1"/>
    </xf>
    <xf numFmtId="10" fontId="12" fillId="5" borderId="6" xfId="3" applyNumberFormat="1" applyFont="1" applyFill="1" applyBorder="1" applyAlignment="1" applyProtection="1">
      <alignment horizontal="center"/>
      <protection hidden="1"/>
    </xf>
    <xf numFmtId="0" fontId="18" fillId="4" borderId="1" xfId="3" applyFont="1" applyFill="1" applyBorder="1" applyAlignment="1" applyProtection="1">
      <alignment vertical="center"/>
      <protection hidden="1"/>
    </xf>
    <xf numFmtId="0" fontId="18" fillId="4" borderId="7" xfId="3" applyFont="1" applyFill="1" applyBorder="1" applyAlignment="1" applyProtection="1">
      <alignment vertical="center"/>
      <protection hidden="1"/>
    </xf>
    <xf numFmtId="10" fontId="19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3" fillId="2" borderId="0" xfId="3" applyNumberFormat="1" applyFont="1" applyFill="1" applyProtection="1">
      <protection hidden="1"/>
    </xf>
    <xf numFmtId="0" fontId="6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2" fillId="5" borderId="5" xfId="3" applyFont="1" applyFill="1" applyBorder="1" applyAlignment="1" applyProtection="1">
      <alignment horizontal="center" vertical="center" wrapText="1"/>
      <protection hidden="1"/>
    </xf>
    <xf numFmtId="0" fontId="14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2" fillId="5" borderId="6" xfId="2" applyNumberFormat="1" applyFont="1" applyFill="1" applyBorder="1" applyAlignment="1" applyProtection="1">
      <alignment horizontal="center" vertical="center"/>
      <protection hidden="1"/>
    </xf>
    <xf numFmtId="0" fontId="12" fillId="5" borderId="9" xfId="3" applyFont="1" applyFill="1" applyBorder="1" applyAlignment="1" applyProtection="1">
      <alignment horizontal="center" vertical="center" wrapText="1"/>
      <protection hidden="1"/>
    </xf>
    <xf numFmtId="1" fontId="12" fillId="5" borderId="11" xfId="2" applyNumberFormat="1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Protection="1">
      <protection hidden="1"/>
    </xf>
    <xf numFmtId="10" fontId="6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9" fillId="0" borderId="0" xfId="8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3" fontId="12" fillId="5" borderId="10" xfId="7" applyNumberFormat="1" applyFont="1" applyFill="1" applyBorder="1" applyAlignment="1" applyProtection="1">
      <alignment vertical="center"/>
      <protection hidden="1"/>
    </xf>
    <xf numFmtId="10" fontId="12" fillId="5" borderId="11" xfId="2" applyNumberFormat="1" applyFont="1" applyFill="1" applyBorder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8" fillId="4" borderId="1" xfId="3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center" vertical="center"/>
      <protection hidden="1"/>
    </xf>
    <xf numFmtId="0" fontId="18" fillId="4" borderId="2" xfId="3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5" fontId="10" fillId="0" borderId="0" xfId="5" applyNumberFormat="1" applyFont="1" applyBorder="1" applyProtection="1">
      <protection hidden="1"/>
    </xf>
    <xf numFmtId="172" fontId="0" fillId="0" borderId="6" xfId="0" applyNumberFormat="1" applyBorder="1" applyProtection="1">
      <protection hidden="1"/>
    </xf>
    <xf numFmtId="0" fontId="17" fillId="0" borderId="0" xfId="0" applyFont="1" applyProtection="1">
      <protection hidden="1"/>
    </xf>
    <xf numFmtId="172" fontId="0" fillId="0" borderId="0" xfId="0" applyNumberFormat="1" applyProtection="1">
      <protection hidden="1"/>
    </xf>
    <xf numFmtId="172" fontId="17" fillId="0" borderId="0" xfId="0" applyNumberFormat="1" applyFont="1" applyAlignment="1" applyProtection="1">
      <alignment horizontal="center"/>
      <protection hidden="1"/>
    </xf>
    <xf numFmtId="14" fontId="17" fillId="5" borderId="5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Alignment="1" applyProtection="1">
      <alignment horizontal="center"/>
      <protection hidden="1"/>
    </xf>
    <xf numFmtId="172" fontId="17" fillId="5" borderId="0" xfId="0" applyNumberFormat="1" applyFont="1" applyFill="1" applyAlignment="1" applyProtection="1">
      <alignment horizontal="center"/>
      <protection hidden="1"/>
    </xf>
    <xf numFmtId="169" fontId="17" fillId="5" borderId="6" xfId="0" applyNumberFormat="1" applyFont="1" applyFill="1" applyBorder="1" applyAlignment="1" applyProtection="1">
      <alignment horizontal="center"/>
      <protection hidden="1"/>
    </xf>
    <xf numFmtId="14" fontId="17" fillId="0" borderId="5" xfId="0" applyNumberFormat="1" applyFont="1" applyBorder="1" applyAlignment="1" applyProtection="1">
      <alignment horizontal="center"/>
      <protection hidden="1"/>
    </xf>
    <xf numFmtId="169" fontId="17" fillId="0" borderId="6" xfId="0" applyNumberFormat="1" applyFont="1" applyBorder="1" applyAlignment="1" applyProtection="1">
      <alignment horizontal="center"/>
      <protection hidden="1"/>
    </xf>
    <xf numFmtId="165" fontId="25" fillId="0" borderId="5" xfId="5" applyNumberFormat="1" applyFont="1" applyBorder="1" applyProtection="1">
      <protection hidden="1"/>
    </xf>
    <xf numFmtId="165" fontId="26" fillId="0" borderId="0" xfId="5" applyNumberFormat="1" applyFont="1" applyBorder="1" applyProtection="1">
      <protection hidden="1"/>
    </xf>
    <xf numFmtId="172" fontId="27" fillId="0" borderId="0" xfId="0" applyNumberFormat="1" applyFont="1" applyProtection="1">
      <protection hidden="1"/>
    </xf>
    <xf numFmtId="175" fontId="2" fillId="0" borderId="0" xfId="0" applyNumberFormat="1" applyFont="1" applyAlignment="1" applyProtection="1">
      <alignment horizontal="center"/>
      <protection hidden="1"/>
    </xf>
    <xf numFmtId="174" fontId="9" fillId="0" borderId="0" xfId="8" applyNumberFormat="1" applyFont="1" applyAlignment="1" applyProtection="1">
      <alignment horizontal="center"/>
      <protection hidden="1"/>
    </xf>
    <xf numFmtId="174" fontId="10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6" fontId="0" fillId="0" borderId="0" xfId="0" applyNumberFormat="1" applyProtection="1">
      <protection hidden="1"/>
    </xf>
    <xf numFmtId="172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2" fontId="2" fillId="0" borderId="5" xfId="0" applyNumberFormat="1" applyFont="1" applyBorder="1" applyProtection="1">
      <protection hidden="1"/>
    </xf>
    <xf numFmtId="172" fontId="1" fillId="0" borderId="0" xfId="0" applyNumberFormat="1" applyFont="1" applyProtection="1">
      <protection hidden="1"/>
    </xf>
    <xf numFmtId="14" fontId="28" fillId="4" borderId="1" xfId="0" applyNumberFormat="1" applyFont="1" applyFill="1" applyBorder="1" applyAlignment="1" applyProtection="1">
      <alignment horizontal="center"/>
      <protection hidden="1"/>
    </xf>
    <xf numFmtId="172" fontId="28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2" fontId="3" fillId="9" borderId="9" xfId="0" applyNumberFormat="1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165" fontId="3" fillId="9" borderId="10" xfId="0" applyNumberFormat="1" applyFont="1" applyFill="1" applyBorder="1" applyProtection="1">
      <protection hidden="1"/>
    </xf>
    <xf numFmtId="0" fontId="3" fillId="9" borderId="11" xfId="0" applyFont="1" applyFill="1" applyBorder="1" applyProtection="1">
      <protection hidden="1"/>
    </xf>
    <xf numFmtId="172" fontId="2" fillId="0" borderId="0" xfId="0" applyNumberFormat="1" applyFont="1" applyProtection="1">
      <protection hidden="1"/>
    </xf>
    <xf numFmtId="175" fontId="0" fillId="0" borderId="0" xfId="0" applyNumberFormat="1" applyAlignment="1" applyProtection="1">
      <alignment horizontal="center"/>
      <protection hidden="1"/>
    </xf>
    <xf numFmtId="172" fontId="17" fillId="0" borderId="0" xfId="0" applyNumberFormat="1" applyFont="1" applyProtection="1">
      <protection hidden="1"/>
    </xf>
    <xf numFmtId="175" fontId="2" fillId="0" borderId="0" xfId="0" applyNumberFormat="1" applyFont="1" applyAlignment="1" applyProtection="1">
      <alignment horizontal="left"/>
      <protection hidden="1"/>
    </xf>
    <xf numFmtId="0" fontId="17" fillId="0" borderId="0" xfId="0" applyFont="1" applyAlignment="1" applyProtection="1">
      <alignment wrapText="1"/>
      <protection hidden="1"/>
    </xf>
    <xf numFmtId="0" fontId="18" fillId="4" borderId="12" xfId="3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1" fillId="4" borderId="3" xfId="3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vertical="center"/>
      <protection hidden="1"/>
    </xf>
    <xf numFmtId="0" fontId="14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2" fillId="5" borderId="8" xfId="2" applyNumberFormat="1" applyFont="1" applyFill="1" applyBorder="1" applyAlignment="1" applyProtection="1">
      <alignment vertical="center"/>
      <protection hidden="1"/>
    </xf>
    <xf numFmtId="10" fontId="12" fillId="5" borderId="4" xfId="2" applyNumberFormat="1" applyFont="1" applyFill="1" applyBorder="1" applyAlignment="1" applyProtection="1">
      <alignment vertical="center"/>
      <protection hidden="1"/>
    </xf>
    <xf numFmtId="0" fontId="30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8" fillId="4" borderId="1" xfId="3" applyFont="1" applyFill="1" applyBorder="1" applyAlignment="1" applyProtection="1">
      <alignment horizontal="left" vertical="center"/>
      <protection hidden="1"/>
    </xf>
    <xf numFmtId="167" fontId="6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1" fillId="0" borderId="0" xfId="0" applyNumberFormat="1" applyFont="1" applyAlignment="1">
      <alignment horizontal="center"/>
    </xf>
    <xf numFmtId="164" fontId="31" fillId="0" borderId="0" xfId="1" applyNumberFormat="1" applyFont="1" applyAlignment="1">
      <alignment horizontal="center"/>
    </xf>
    <xf numFmtId="10" fontId="31" fillId="0" borderId="0" xfId="1" applyNumberFormat="1" applyFont="1" applyAlignment="1">
      <alignment horizontal="center"/>
    </xf>
    <xf numFmtId="168" fontId="13" fillId="2" borderId="0" xfId="3" applyNumberFormat="1" applyFont="1" applyFill="1" applyProtection="1">
      <protection hidden="1"/>
    </xf>
    <xf numFmtId="173" fontId="12" fillId="5" borderId="11" xfId="7" applyNumberFormat="1" applyFont="1" applyFill="1" applyBorder="1" applyAlignment="1" applyProtection="1">
      <alignment vertical="center"/>
      <protection hidden="1"/>
    </xf>
    <xf numFmtId="172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2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2" fillId="5" borderId="2" xfId="3" applyNumberFormat="1" applyFont="1" applyFill="1" applyBorder="1" applyAlignment="1" applyProtection="1">
      <alignment horizontal="center" vertical="center"/>
      <protection hidden="1"/>
    </xf>
    <xf numFmtId="10" fontId="11" fillId="4" borderId="4" xfId="3" applyNumberFormat="1" applyFont="1" applyFill="1" applyBorder="1" applyAlignment="1" applyProtection="1">
      <alignment horizontal="right" vertical="center"/>
      <protection hidden="1"/>
    </xf>
    <xf numFmtId="14" fontId="10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1" fillId="2" borderId="0" xfId="0" applyNumberFormat="1" applyFont="1" applyFill="1" applyProtection="1">
      <protection hidden="1"/>
    </xf>
    <xf numFmtId="0" fontId="31" fillId="2" borderId="0" xfId="0" applyFont="1" applyFill="1" applyProtection="1">
      <protection hidden="1"/>
    </xf>
    <xf numFmtId="174" fontId="12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2" fontId="6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2" fontId="27" fillId="7" borderId="0" xfId="0" applyNumberFormat="1" applyFont="1" applyFill="1" applyProtection="1">
      <protection hidden="1"/>
    </xf>
    <xf numFmtId="172" fontId="36" fillId="7" borderId="0" xfId="0" applyNumberFormat="1" applyFont="1" applyFill="1" applyProtection="1">
      <protection hidden="1"/>
    </xf>
    <xf numFmtId="174" fontId="19" fillId="7" borderId="2" xfId="3" applyNumberFormat="1" applyFont="1" applyFill="1" applyBorder="1" applyAlignment="1" applyProtection="1">
      <alignment horizontal="center" vertical="center"/>
      <protection locked="0" hidden="1"/>
    </xf>
    <xf numFmtId="169" fontId="0" fillId="2" borderId="0" xfId="0" applyNumberFormat="1" applyFill="1" applyProtection="1">
      <protection hidden="1"/>
    </xf>
    <xf numFmtId="177" fontId="12" fillId="5" borderId="6" xfId="3" applyNumberFormat="1" applyFont="1" applyFill="1" applyBorder="1" applyAlignment="1" applyProtection="1">
      <alignment horizontal="center" vertical="center" wrapText="1"/>
      <protection hidden="1"/>
    </xf>
    <xf numFmtId="178" fontId="37" fillId="9" borderId="10" xfId="0" applyNumberFormat="1" applyFont="1" applyFill="1" applyBorder="1" applyProtection="1">
      <protection hidden="1"/>
    </xf>
    <xf numFmtId="0" fontId="21" fillId="5" borderId="0" xfId="0" applyFont="1" applyFill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24" fillId="5" borderId="3" xfId="3" applyFont="1" applyFill="1" applyBorder="1" applyAlignment="1" applyProtection="1">
      <alignment horizontal="center" vertical="center"/>
      <protection hidden="1"/>
    </xf>
    <xf numFmtId="0" fontId="24" fillId="5" borderId="8" xfId="3" applyFont="1" applyFill="1" applyBorder="1" applyAlignment="1" applyProtection="1">
      <alignment horizontal="center" vertical="center"/>
      <protection hidden="1"/>
    </xf>
    <xf numFmtId="0" fontId="24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24</xdr:col>
      <xdr:colOff>653577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topLeftCell="A4" zoomScale="70" zoomScaleNormal="7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26.28515625" style="16" hidden="1" customWidth="1" outlineLevel="1"/>
    <col min="4" max="4" width="22.140625" style="16" hidden="1" customWidth="1" outlineLevel="1"/>
    <col min="5" max="5" width="23" style="16" hidden="1" customWidth="1" outlineLevel="1"/>
    <col min="6" max="6" width="26.28515625" style="16" hidden="1" customWidth="1" outlineLevel="1"/>
    <col min="7" max="7" width="21.5703125" style="16" hidden="1" customWidth="1" outlineLevel="1"/>
    <col min="8" max="8" width="22.5703125" style="16" hidden="1" customWidth="1" outlineLevel="1"/>
    <col min="9" max="9" width="17.42578125" style="16" hidden="1" customWidth="1" outlineLevel="1"/>
    <col min="10" max="10" width="19.14062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5" style="16" customWidth="1"/>
    <col min="17" max="17" width="21.5703125" style="16" customWidth="1"/>
    <col min="18" max="18" width="25.140625" style="16" customWidth="1"/>
    <col min="19" max="19" width="24.28515625" style="16" customWidth="1"/>
    <col min="20" max="20" width="17.140625" style="16" customWidth="1"/>
    <col min="21" max="21" width="17.5703125" style="16" customWidth="1"/>
    <col min="22" max="22" width="24.5703125" style="16" customWidth="1"/>
    <col min="23" max="23" width="24.140625" style="16" customWidth="1"/>
    <col min="24" max="24" width="26" style="16" customWidth="1"/>
    <col min="25" max="25" width="23.28515625" style="16" customWidth="1"/>
    <col min="26" max="26" width="11.85546875" style="16" customWidth="1"/>
    <col min="27" max="28" width="18.7109375" style="58" hidden="1" customWidth="1" outlineLevel="1"/>
    <col min="29" max="29" width="14" style="16" hidden="1" customWidth="1" outlineLevel="1"/>
    <col min="30" max="30" width="17.42578125" style="16" hidden="1" customWidth="1" outlineLevel="1"/>
    <col min="31" max="31" width="20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42</v>
      </c>
      <c r="S1" s="3"/>
      <c r="T1" s="4"/>
      <c r="AA1" s="5"/>
      <c r="AB1" s="5"/>
    </row>
    <row r="2" spans="2:29" s="1" customFormat="1" ht="24.75" x14ac:dyDescent="0.3">
      <c r="O2" s="6" t="s">
        <v>34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27</v>
      </c>
      <c r="P4" s="18">
        <v>87999995652</v>
      </c>
      <c r="Q4" s="119"/>
      <c r="R4" s="120"/>
      <c r="S4" s="9"/>
      <c r="W4" s="13"/>
      <c r="X4" s="14"/>
      <c r="Y4" s="15"/>
      <c r="AA4" s="122"/>
      <c r="AB4" s="123"/>
      <c r="AC4" s="124"/>
    </row>
    <row r="5" spans="2:29" s="1" customFormat="1" ht="15.75" thickBot="1" x14ac:dyDescent="0.3">
      <c r="B5" s="19" t="s">
        <v>0</v>
      </c>
      <c r="C5" s="20">
        <f>+XNPV($V$6,R19:R30,O19:O30)</f>
        <v>84508131886.07373</v>
      </c>
      <c r="E5" s="144"/>
      <c r="O5" s="21"/>
      <c r="P5" s="22"/>
      <c r="Q5" s="10"/>
      <c r="S5" s="23"/>
      <c r="X5" s="16"/>
      <c r="Y5" s="24"/>
      <c r="AA5" s="125"/>
      <c r="AB5" s="25"/>
      <c r="AC5" s="10"/>
    </row>
    <row r="6" spans="2:29" s="1" customFormat="1" ht="19.5" thickBot="1" x14ac:dyDescent="0.3">
      <c r="B6" s="19" t="s">
        <v>1</v>
      </c>
      <c r="C6" s="20">
        <f>+XNPV($V$6,X19:X31,U19:U31)</f>
        <v>94700985223.904938</v>
      </c>
      <c r="F6" s="135"/>
      <c r="O6" s="26" t="s">
        <v>2</v>
      </c>
      <c r="P6" s="27"/>
      <c r="Q6" s="10"/>
      <c r="S6" s="34" t="s">
        <v>28</v>
      </c>
      <c r="T6" s="35"/>
      <c r="U6" s="35"/>
      <c r="V6" s="36">
        <v>0.2329</v>
      </c>
      <c r="W6" s="28" t="s">
        <v>30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4"/>
      <c r="H7" s="138"/>
      <c r="O7" s="32" t="s">
        <v>3</v>
      </c>
      <c r="P7" s="33">
        <v>0.15</v>
      </c>
      <c r="Q7" s="10"/>
      <c r="S7" s="42" t="s">
        <v>8</v>
      </c>
      <c r="T7" s="43"/>
      <c r="U7" s="43"/>
      <c r="V7" s="126">
        <f>+ROUND((C5/P4)*100,4)</f>
        <v>96.031999999999996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0.5</v>
      </c>
      <c r="Q8" s="38"/>
      <c r="R8" s="16"/>
      <c r="W8" s="44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145">
        <v>100</v>
      </c>
      <c r="Q9" s="38"/>
      <c r="R9" s="16"/>
      <c r="S9" s="115" t="s">
        <v>31</v>
      </c>
      <c r="T9" s="116"/>
      <c r="U9" s="116"/>
      <c r="V9" s="116"/>
      <c r="W9" s="116"/>
      <c r="X9" s="117"/>
      <c r="AA9" s="37"/>
      <c r="AB9" s="37"/>
      <c r="AC9" s="16"/>
    </row>
    <row r="10" spans="2:29" s="1" customFormat="1" ht="30.75" thickBot="1" x14ac:dyDescent="0.3">
      <c r="O10" s="41" t="s">
        <v>9</v>
      </c>
      <c r="P10" s="45">
        <f>+SUM(AE19:AE31)/(360/12)</f>
        <v>7.7280275376441141</v>
      </c>
      <c r="Q10" s="10"/>
      <c r="S10" s="118" t="s">
        <v>41</v>
      </c>
      <c r="T10" s="48"/>
      <c r="U10" s="49"/>
      <c r="V10" s="49"/>
      <c r="W10" s="143">
        <v>0.33187499999999998</v>
      </c>
      <c r="X10" s="28" t="s">
        <v>38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6" t="s">
        <v>10</v>
      </c>
      <c r="P11" s="47">
        <f>+O30-Q14</f>
        <v>314</v>
      </c>
      <c r="Q11" s="139"/>
      <c r="Y11" s="50"/>
      <c r="AA11" s="37"/>
      <c r="AB11" s="37"/>
      <c r="AC11" s="16"/>
    </row>
    <row r="12" spans="2:29" s="1" customFormat="1" ht="15.75" thickBot="1" x14ac:dyDescent="0.3">
      <c r="D12" s="5"/>
      <c r="S12" s="109" t="s">
        <v>36</v>
      </c>
      <c r="T12" s="110"/>
      <c r="U12" s="110"/>
      <c r="V12" s="110"/>
      <c r="W12" s="132">
        <f>+XIRR(AA19:AA31,U19:U31)</f>
        <v>0.48476729989051814</v>
      </c>
      <c r="AA12" s="37"/>
      <c r="AB12" s="37"/>
      <c r="AC12" s="16"/>
    </row>
    <row r="13" spans="2:29" s="1" customFormat="1" ht="19.5" thickBot="1" x14ac:dyDescent="0.3">
      <c r="C13" s="5"/>
      <c r="D13" s="135">
        <v>45591</v>
      </c>
      <c r="E13" s="136">
        <v>10</v>
      </c>
      <c r="F13" s="138">
        <f>+D14-D13</f>
        <v>5</v>
      </c>
      <c r="O13" s="44"/>
      <c r="P13" s="44"/>
      <c r="Q13" s="44"/>
      <c r="S13" s="111" t="s">
        <v>6</v>
      </c>
      <c r="T13" s="112"/>
      <c r="U13" s="112"/>
      <c r="V13" s="113"/>
      <c r="W13" s="114">
        <f>+NOMINAL(W12,12)</f>
        <v>0.40183966166497331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4">
        <v>45596</v>
      </c>
      <c r="E14" s="8">
        <v>30</v>
      </c>
      <c r="F14" s="8"/>
      <c r="O14" s="129" t="s">
        <v>29</v>
      </c>
      <c r="P14" s="130"/>
      <c r="Q14" s="131">
        <v>45813</v>
      </c>
      <c r="R14" s="10"/>
      <c r="S14" s="42" t="s">
        <v>39</v>
      </c>
      <c r="T14" s="43"/>
      <c r="U14" s="43"/>
      <c r="V14" s="54"/>
      <c r="W14" s="55">
        <f>W13-W10</f>
        <v>6.9964661664973338E-2</v>
      </c>
      <c r="X14" s="44"/>
      <c r="Y14" s="50"/>
      <c r="AA14" s="25"/>
      <c r="AB14" s="25"/>
      <c r="AC14" s="16"/>
    </row>
    <row r="15" spans="2:29" s="44" customFormat="1" x14ac:dyDescent="0.25">
      <c r="C15" s="51"/>
      <c r="D15" s="84"/>
      <c r="E15" s="51"/>
      <c r="F15" s="51"/>
      <c r="M15" s="52"/>
      <c r="N15" s="52"/>
      <c r="R15" s="52"/>
      <c r="Y15" s="128"/>
      <c r="AA15" s="53"/>
      <c r="AB15" s="53"/>
    </row>
    <row r="16" spans="2:29" ht="16.5" thickBot="1" x14ac:dyDescent="0.3">
      <c r="O16" s="56" t="s">
        <v>32</v>
      </c>
      <c r="P16" s="57"/>
      <c r="Q16" s="57"/>
      <c r="R16" s="57"/>
      <c r="S16" s="57"/>
      <c r="T16" s="57"/>
      <c r="U16" s="56" t="s">
        <v>40</v>
      </c>
    </row>
    <row r="17" spans="2:31" ht="16.5" thickBot="1" x14ac:dyDescent="0.3">
      <c r="B17" s="149"/>
      <c r="D17" s="59" t="s">
        <v>11</v>
      </c>
      <c r="E17" s="59"/>
      <c r="G17" s="59"/>
      <c r="H17" s="59" t="s">
        <v>12</v>
      </c>
      <c r="I17" s="59"/>
      <c r="J17" s="59"/>
      <c r="K17" s="59" t="s">
        <v>13</v>
      </c>
      <c r="L17" s="59"/>
      <c r="O17" s="150" t="s">
        <v>33</v>
      </c>
      <c r="P17" s="151"/>
      <c r="Q17" s="151"/>
      <c r="R17" s="151"/>
      <c r="S17" s="152"/>
      <c r="U17" s="150" t="s">
        <v>33</v>
      </c>
      <c r="V17" s="151"/>
      <c r="W17" s="151"/>
      <c r="X17" s="151"/>
      <c r="Y17" s="152"/>
      <c r="AA17" s="60" t="s">
        <v>14</v>
      </c>
      <c r="AB17" s="61" t="s">
        <v>15</v>
      </c>
      <c r="AC17" s="61" t="s">
        <v>16</v>
      </c>
      <c r="AD17" s="61" t="s">
        <v>17</v>
      </c>
      <c r="AE17" s="62" t="s">
        <v>18</v>
      </c>
    </row>
    <row r="18" spans="2:31" ht="19.5" thickBot="1" x14ac:dyDescent="0.3">
      <c r="B18" s="149"/>
      <c r="C18" s="63"/>
      <c r="D18" s="59" t="s">
        <v>16</v>
      </c>
      <c r="E18" s="107" t="s">
        <v>37</v>
      </c>
      <c r="F18" s="108" t="s">
        <v>38</v>
      </c>
      <c r="G18" s="149" t="s">
        <v>19</v>
      </c>
      <c r="H18" s="148" t="s">
        <v>20</v>
      </c>
      <c r="I18" s="59" t="s">
        <v>21</v>
      </c>
      <c r="J18" s="148" t="s">
        <v>20</v>
      </c>
      <c r="K18" s="59" t="s">
        <v>21</v>
      </c>
      <c r="L18" s="59"/>
      <c r="O18" s="64" t="s">
        <v>22</v>
      </c>
      <c r="P18" s="65" t="s">
        <v>23</v>
      </c>
      <c r="Q18" s="65" t="s">
        <v>26</v>
      </c>
      <c r="R18" s="65" t="s">
        <v>24</v>
      </c>
      <c r="S18" s="66" t="s">
        <v>25</v>
      </c>
      <c r="T18" s="67"/>
      <c r="U18" s="64" t="s">
        <v>22</v>
      </c>
      <c r="V18" s="65" t="s">
        <v>23</v>
      </c>
      <c r="W18" s="65" t="s">
        <v>26</v>
      </c>
      <c r="X18" s="65" t="s">
        <v>24</v>
      </c>
      <c r="Y18" s="66" t="s">
        <v>25</v>
      </c>
      <c r="AA18" s="68"/>
      <c r="AB18" s="69"/>
      <c r="AC18" s="70"/>
      <c r="AD18" s="70"/>
      <c r="AE18" s="71"/>
    </row>
    <row r="19" spans="2:31" ht="15.75" thickBot="1" x14ac:dyDescent="0.3">
      <c r="B19" s="72"/>
      <c r="C19" s="63"/>
      <c r="D19" s="63"/>
      <c r="E19" s="63"/>
      <c r="F19" s="106"/>
      <c r="G19" s="149"/>
      <c r="H19" s="148"/>
      <c r="I19" s="73">
        <v>0</v>
      </c>
      <c r="J19" s="148"/>
      <c r="K19" s="73">
        <v>0</v>
      </c>
      <c r="L19" s="73"/>
      <c r="O19" s="75">
        <f>+Q14</f>
        <v>45813</v>
      </c>
      <c r="P19" s="76"/>
      <c r="Q19" s="76"/>
      <c r="R19" s="77">
        <v>0</v>
      </c>
      <c r="S19" s="78">
        <f>P4</f>
        <v>87999995652</v>
      </c>
      <c r="U19" s="79">
        <f>+Q14</f>
        <v>45813</v>
      </c>
      <c r="V19" s="59"/>
      <c r="W19" s="59"/>
      <c r="X19" s="74">
        <v>0</v>
      </c>
      <c r="Y19" s="80">
        <f>+P4</f>
        <v>87999995652</v>
      </c>
      <c r="AA19" s="81">
        <f>-(V7*Y19/100)</f>
        <v>-84508155824.528625</v>
      </c>
      <c r="AB19" s="82">
        <f>-S19</f>
        <v>-87999995652</v>
      </c>
      <c r="AC19" s="70">
        <f>+O19-$O$19</f>
        <v>0</v>
      </c>
      <c r="AD19" s="70">
        <f t="shared" ref="AD19:AD36" si="0">+R19/((1+$AB$37)^(AC19/365))</f>
        <v>0</v>
      </c>
      <c r="AE19" s="71">
        <f t="shared" ref="AE19:AE31" si="1">+AD19/$AD$37*AC19</f>
        <v>0</v>
      </c>
    </row>
    <row r="20" spans="2:31" ht="15.75" thickBot="1" x14ac:dyDescent="0.3">
      <c r="B20" s="141">
        <v>183333324</v>
      </c>
      <c r="C20" s="63"/>
      <c r="D20" s="84">
        <f>+F13</f>
        <v>5</v>
      </c>
      <c r="E20" s="105"/>
      <c r="F20" s="137">
        <f>+W10</f>
        <v>0.33187499999999998</v>
      </c>
      <c r="G20" s="86">
        <f>+MAX($P$7,MIN($P$8,$F20+$P$9/10000))</f>
        <v>0.34187499999999998</v>
      </c>
      <c r="H20" s="73">
        <f>+((G20*Y19)/$C$8)*$D20</f>
        <v>417847201.57677084</v>
      </c>
      <c r="I20" s="73">
        <f t="shared" ref="I20:I36" si="2">+I19+H20-W20</f>
        <v>0</v>
      </c>
      <c r="J20" s="73">
        <f>+(($P$7*S19)/$C$8)*$D20</f>
        <v>183333324.27499998</v>
      </c>
      <c r="K20" s="73">
        <f t="shared" ref="K20:K36" si="3">+K19+J20-Q20</f>
        <v>0</v>
      </c>
      <c r="L20" s="73"/>
      <c r="M20" s="88">
        <f>+U20</f>
        <v>45823</v>
      </c>
      <c r="N20" s="88"/>
      <c r="O20" s="133">
        <v>45823</v>
      </c>
      <c r="P20" s="89">
        <v>0</v>
      </c>
      <c r="Q20" s="89">
        <f>+(($P$7*S19)/$C$8)*$D20</f>
        <v>183333324.27499998</v>
      </c>
      <c r="R20" s="89">
        <f>P20+Q20</f>
        <v>183333324.27499998</v>
      </c>
      <c r="S20" s="90">
        <f>+S19-P20</f>
        <v>87999995652</v>
      </c>
      <c r="U20" s="40">
        <f>+O20</f>
        <v>45823</v>
      </c>
      <c r="V20" s="127">
        <v>0</v>
      </c>
      <c r="W20" s="73">
        <f>+((G20*Y19)/$C$8)*$D20</f>
        <v>417847201.57677084</v>
      </c>
      <c r="X20" s="73">
        <f>+W20+V20</f>
        <v>417847201.57677084</v>
      </c>
      <c r="Y20" s="91">
        <f>+Y19-V20</f>
        <v>87999995652</v>
      </c>
      <c r="AA20" s="92">
        <f>+X20</f>
        <v>417847201.57677084</v>
      </c>
      <c r="AB20" s="93">
        <f>+R20</f>
        <v>183333324.27499998</v>
      </c>
      <c r="AC20" s="70">
        <f>+O20-$O$19</f>
        <v>10</v>
      </c>
      <c r="AD20" s="70">
        <f t="shared" ref="AD20:AD31" si="4">+R20/((1+$AB$37)^(AC20/365))</f>
        <v>182603679.09457406</v>
      </c>
      <c r="AE20" s="71">
        <f t="shared" si="1"/>
        <v>2.0750419046486748E-2</v>
      </c>
    </row>
    <row r="21" spans="2:31" ht="15.75" thickBot="1" x14ac:dyDescent="0.3">
      <c r="B21" s="141">
        <v>1099999946</v>
      </c>
      <c r="C21" s="63"/>
      <c r="D21" s="84">
        <v>30</v>
      </c>
      <c r="E21" s="105"/>
      <c r="F21" s="137">
        <f>+F20</f>
        <v>0.33187499999999998</v>
      </c>
      <c r="G21" s="86">
        <f t="shared" ref="G21:G37" si="5">+MAX($P$7,MIN($P$8,$F21+$P$9/10000))</f>
        <v>0.34187499999999998</v>
      </c>
      <c r="H21" s="73">
        <f t="shared" ref="H21:H37" si="6">+((G21*Y20)/$C$8)*$D21</f>
        <v>2507083209.4606252</v>
      </c>
      <c r="I21" s="73">
        <f t="shared" si="2"/>
        <v>0</v>
      </c>
      <c r="J21" s="73">
        <f>+(($P$7*S20)/$C$8)*$D21</f>
        <v>1099999945.6499999</v>
      </c>
      <c r="K21" s="73">
        <f t="shared" si="3"/>
        <v>0</v>
      </c>
      <c r="L21" s="73"/>
      <c r="M21" s="88">
        <f t="shared" ref="M21:M30" si="7">+U21</f>
        <v>45853</v>
      </c>
      <c r="N21" s="88"/>
      <c r="O21" s="133">
        <f>DATE(YEAR($O$20), MONTH($O$20)+ROW()-ROW($O$20), 15)</f>
        <v>45853</v>
      </c>
      <c r="P21" s="89">
        <v>0</v>
      </c>
      <c r="Q21" s="89">
        <f>+(($P$7*S20)/$C$8)*$D21</f>
        <v>1099999945.6499999</v>
      </c>
      <c r="R21" s="89">
        <f t="shared" ref="R21:R32" si="8">P21+Q21</f>
        <v>1099999945.6499999</v>
      </c>
      <c r="S21" s="90">
        <f t="shared" ref="S21:S27" si="9">+S20-P21</f>
        <v>87999995652</v>
      </c>
      <c r="U21" s="40">
        <f t="shared" ref="U21:U34" si="10">+O21</f>
        <v>45853</v>
      </c>
      <c r="V21" s="127">
        <v>0</v>
      </c>
      <c r="W21" s="73">
        <f t="shared" ref="W21:W33" si="11">+((G21*Y20)/$C$8)*$D21</f>
        <v>2507083209.4606252</v>
      </c>
      <c r="X21" s="73">
        <f>+W21+V21</f>
        <v>2507083209.4606252</v>
      </c>
      <c r="Y21" s="91">
        <f t="shared" ref="Y21:Y34" si="12">+Y20-V21</f>
        <v>87999995652</v>
      </c>
      <c r="AA21" s="92">
        <f>+X21</f>
        <v>2507083209.4606252</v>
      </c>
      <c r="AB21" s="93">
        <f>+R21</f>
        <v>1099999945.6499999</v>
      </c>
      <c r="AC21" s="70">
        <f t="shared" ref="AC21:AC28" si="13">+O21-$O$19</f>
        <v>40</v>
      </c>
      <c r="AD21" s="70">
        <f t="shared" si="4"/>
        <v>1082592724.7113061</v>
      </c>
      <c r="AE21" s="71">
        <f t="shared" si="1"/>
        <v>0.49208762508673853</v>
      </c>
    </row>
    <row r="22" spans="2:31" ht="15.75" thickBot="1" x14ac:dyDescent="0.3">
      <c r="B22" s="141">
        <v>1099999946</v>
      </c>
      <c r="C22" s="63"/>
      <c r="D22" s="84">
        <v>30</v>
      </c>
      <c r="E22" s="105"/>
      <c r="F22" s="137">
        <f t="shared" ref="F22:F37" si="14">+F21</f>
        <v>0.33187499999999998</v>
      </c>
      <c r="G22" s="86">
        <f t="shared" si="5"/>
        <v>0.34187499999999998</v>
      </c>
      <c r="H22" s="73">
        <f t="shared" si="6"/>
        <v>2507083209.4606252</v>
      </c>
      <c r="I22" s="73">
        <f t="shared" si="2"/>
        <v>0</v>
      </c>
      <c r="J22" s="73">
        <f t="shared" ref="J22:J36" si="15">+(($P$7*S21)/$C$8)*$D22</f>
        <v>1099999945.6499999</v>
      </c>
      <c r="K22" s="73">
        <f t="shared" si="3"/>
        <v>0</v>
      </c>
      <c r="L22" s="73"/>
      <c r="M22" s="88">
        <f t="shared" si="7"/>
        <v>45884</v>
      </c>
      <c r="N22" s="88"/>
      <c r="O22" s="133">
        <f t="shared" ref="O22:O30" si="16">DATE(YEAR($O$20), MONTH($O$20)+ROW()-ROW($O$20), 15)</f>
        <v>45884</v>
      </c>
      <c r="P22" s="89">
        <v>0</v>
      </c>
      <c r="Q22" s="89">
        <f t="shared" ref="Q22:Q32" si="17">+(($P$7*S21)/$C$8)*$D22</f>
        <v>1099999945.6499999</v>
      </c>
      <c r="R22" s="89">
        <f t="shared" si="8"/>
        <v>1099999945.6499999</v>
      </c>
      <c r="S22" s="90">
        <f t="shared" si="9"/>
        <v>87999995652</v>
      </c>
      <c r="U22" s="40">
        <f t="shared" si="10"/>
        <v>45884</v>
      </c>
      <c r="V22" s="127">
        <v>0</v>
      </c>
      <c r="W22" s="73">
        <f t="shared" si="11"/>
        <v>2507083209.4606252</v>
      </c>
      <c r="X22" s="73">
        <f>+W22+V22</f>
        <v>2507083209.4606252</v>
      </c>
      <c r="Y22" s="91">
        <f t="shared" si="12"/>
        <v>87999995652</v>
      </c>
      <c r="Z22" s="73"/>
      <c r="AA22" s="92">
        <f t="shared" ref="AA22:AA28" si="18">+X22</f>
        <v>2507083209.4606252</v>
      </c>
      <c r="AB22" s="93">
        <f t="shared" ref="AB22:AB28" si="19">+R22</f>
        <v>1099999945.6499999</v>
      </c>
      <c r="AC22" s="70">
        <f t="shared" si="13"/>
        <v>71</v>
      </c>
      <c r="AD22" s="70">
        <f t="shared" si="4"/>
        <v>1069291822.632946</v>
      </c>
      <c r="AE22" s="71">
        <f t="shared" si="1"/>
        <v>0.86272412439716883</v>
      </c>
    </row>
    <row r="23" spans="2:31" ht="15.75" thickBot="1" x14ac:dyDescent="0.3">
      <c r="B23" s="141">
        <v>1099999946</v>
      </c>
      <c r="C23" s="63"/>
      <c r="D23" s="84">
        <v>30</v>
      </c>
      <c r="E23" s="105"/>
      <c r="F23" s="137">
        <f t="shared" si="14"/>
        <v>0.33187499999999998</v>
      </c>
      <c r="G23" s="86">
        <f t="shared" si="5"/>
        <v>0.34187499999999998</v>
      </c>
      <c r="H23" s="73">
        <f t="shared" si="6"/>
        <v>2507083209.4606252</v>
      </c>
      <c r="I23" s="73">
        <f t="shared" si="2"/>
        <v>0</v>
      </c>
      <c r="J23" s="73">
        <f t="shared" si="15"/>
        <v>1099999945.6499999</v>
      </c>
      <c r="K23" s="73">
        <f t="shared" si="3"/>
        <v>0</v>
      </c>
      <c r="L23" s="73"/>
      <c r="M23" s="88">
        <f>+U23</f>
        <v>45915</v>
      </c>
      <c r="N23" s="88"/>
      <c r="O23" s="133">
        <f t="shared" si="16"/>
        <v>45915</v>
      </c>
      <c r="P23" s="89">
        <v>0</v>
      </c>
      <c r="Q23" s="89">
        <f t="shared" si="17"/>
        <v>1099999945.6499999</v>
      </c>
      <c r="R23" s="89">
        <f t="shared" si="8"/>
        <v>1099999945.6499999</v>
      </c>
      <c r="S23" s="90">
        <f t="shared" si="9"/>
        <v>87999995652</v>
      </c>
      <c r="U23" s="40">
        <f t="shared" si="10"/>
        <v>45915</v>
      </c>
      <c r="V23" s="127">
        <v>0</v>
      </c>
      <c r="W23" s="73">
        <f t="shared" si="11"/>
        <v>2507083209.4606252</v>
      </c>
      <c r="X23" s="73">
        <f t="shared" ref="X23:X34" si="20">+W23+V23</f>
        <v>2507083209.4606252</v>
      </c>
      <c r="Y23" s="91">
        <f t="shared" si="12"/>
        <v>87999995652</v>
      </c>
      <c r="Z23" s="121"/>
      <c r="AA23" s="92">
        <f t="shared" si="18"/>
        <v>2507083209.4606252</v>
      </c>
      <c r="AB23" s="93">
        <f t="shared" si="19"/>
        <v>1099999945.6499999</v>
      </c>
      <c r="AC23" s="70">
        <f t="shared" si="13"/>
        <v>102</v>
      </c>
      <c r="AD23" s="70">
        <f t="shared" si="4"/>
        <v>1056154337.4999062</v>
      </c>
      <c r="AE23" s="71">
        <f t="shared" si="1"/>
        <v>1.224178948274522</v>
      </c>
    </row>
    <row r="24" spans="2:31" ht="15.75" thickBot="1" x14ac:dyDescent="0.3">
      <c r="B24" s="141">
        <v>1099999946</v>
      </c>
      <c r="C24" s="63"/>
      <c r="D24" s="84">
        <v>30</v>
      </c>
      <c r="E24" s="105"/>
      <c r="F24" s="137">
        <f t="shared" si="14"/>
        <v>0.33187499999999998</v>
      </c>
      <c r="G24" s="86">
        <f>+MAX($P$7,MIN($P$8,$F24+$P$9/10000))</f>
        <v>0.34187499999999998</v>
      </c>
      <c r="H24" s="73">
        <f>+((G24*Y23)/$C$8)*$D24</f>
        <v>2507083209.4606252</v>
      </c>
      <c r="I24" s="73">
        <f t="shared" si="2"/>
        <v>0</v>
      </c>
      <c r="J24" s="73">
        <f t="shared" si="15"/>
        <v>1099999945.6499999</v>
      </c>
      <c r="K24" s="73">
        <f>+K23+J24-Q24</f>
        <v>0</v>
      </c>
      <c r="L24" s="73"/>
      <c r="M24" s="88">
        <f t="shared" si="7"/>
        <v>45945</v>
      </c>
      <c r="N24" s="88"/>
      <c r="O24" s="133">
        <f t="shared" si="16"/>
        <v>45945</v>
      </c>
      <c r="P24" s="89">
        <v>0</v>
      </c>
      <c r="Q24" s="89">
        <f>+(($P$7*S23)/$C$8)*$D24</f>
        <v>1099999945.6499999</v>
      </c>
      <c r="R24" s="89">
        <f t="shared" si="8"/>
        <v>1099999945.6499999</v>
      </c>
      <c r="S24" s="90">
        <f t="shared" si="9"/>
        <v>87999995652</v>
      </c>
      <c r="U24" s="40">
        <f t="shared" si="10"/>
        <v>45945</v>
      </c>
      <c r="V24" s="127">
        <v>0</v>
      </c>
      <c r="W24" s="73">
        <f t="shared" si="11"/>
        <v>2507083209.4606252</v>
      </c>
      <c r="X24" s="73">
        <f t="shared" si="20"/>
        <v>2507083209.4606252</v>
      </c>
      <c r="Y24" s="91">
        <f t="shared" si="12"/>
        <v>87999995652</v>
      </c>
      <c r="AA24" s="92">
        <f t="shared" si="18"/>
        <v>2507083209.4606252</v>
      </c>
      <c r="AB24" s="93">
        <f t="shared" si="19"/>
        <v>1099999945.6499999</v>
      </c>
      <c r="AC24" s="70">
        <f t="shared" si="13"/>
        <v>132</v>
      </c>
      <c r="AD24" s="70">
        <f t="shared" si="4"/>
        <v>1043594345.6151159</v>
      </c>
      <c r="AE24" s="71">
        <f t="shared" si="1"/>
        <v>1.5653915914143064</v>
      </c>
    </row>
    <row r="25" spans="2:31" ht="15.75" thickBot="1" x14ac:dyDescent="0.3">
      <c r="B25" s="141">
        <v>1099999946</v>
      </c>
      <c r="C25" s="63"/>
      <c r="D25" s="84">
        <v>30</v>
      </c>
      <c r="E25" s="105"/>
      <c r="F25" s="137">
        <f t="shared" si="14"/>
        <v>0.33187499999999998</v>
      </c>
      <c r="G25" s="86">
        <f t="shared" si="5"/>
        <v>0.34187499999999998</v>
      </c>
      <c r="H25" s="73">
        <f t="shared" si="6"/>
        <v>2507083209.4606252</v>
      </c>
      <c r="I25" s="73">
        <f t="shared" si="2"/>
        <v>0</v>
      </c>
      <c r="J25" s="73">
        <f t="shared" si="15"/>
        <v>1099999945.6499999</v>
      </c>
      <c r="K25" s="73">
        <f t="shared" si="3"/>
        <v>0</v>
      </c>
      <c r="L25" s="73"/>
      <c r="M25" s="88">
        <f t="shared" si="7"/>
        <v>45976</v>
      </c>
      <c r="N25" s="88"/>
      <c r="O25" s="133">
        <f t="shared" si="16"/>
        <v>45976</v>
      </c>
      <c r="P25" s="89">
        <v>0</v>
      </c>
      <c r="Q25" s="89">
        <f t="shared" si="17"/>
        <v>1099999945.6499999</v>
      </c>
      <c r="R25" s="89">
        <f>P25+Q25</f>
        <v>1099999945.6499999</v>
      </c>
      <c r="S25" s="90">
        <f t="shared" si="9"/>
        <v>87999995652</v>
      </c>
      <c r="U25" s="40">
        <f t="shared" si="10"/>
        <v>45976</v>
      </c>
      <c r="V25" s="127">
        <v>0</v>
      </c>
      <c r="W25" s="73">
        <f t="shared" si="11"/>
        <v>2507083209.4606252</v>
      </c>
      <c r="X25" s="73">
        <f t="shared" si="20"/>
        <v>2507083209.4606252</v>
      </c>
      <c r="Y25" s="91">
        <f t="shared" si="12"/>
        <v>87999995652</v>
      </c>
      <c r="AA25" s="92">
        <f t="shared" si="18"/>
        <v>2507083209.4606252</v>
      </c>
      <c r="AB25" s="93">
        <f t="shared" si="19"/>
        <v>1099999945.6499999</v>
      </c>
      <c r="AC25" s="70">
        <f t="shared" si="13"/>
        <v>163</v>
      </c>
      <c r="AD25" s="70">
        <f t="shared" si="4"/>
        <v>1030772583.6692666</v>
      </c>
      <c r="AE25" s="71">
        <f t="shared" si="1"/>
        <v>1.9092720337772395</v>
      </c>
    </row>
    <row r="26" spans="2:31" ht="15.75" thickBot="1" x14ac:dyDescent="0.3">
      <c r="B26" s="141">
        <v>25841265814</v>
      </c>
      <c r="C26" s="63"/>
      <c r="D26" s="84">
        <v>30</v>
      </c>
      <c r="E26" s="105"/>
      <c r="F26" s="137">
        <f t="shared" si="14"/>
        <v>0.33187499999999998</v>
      </c>
      <c r="G26" s="86">
        <f t="shared" si="5"/>
        <v>0.34187499999999998</v>
      </c>
      <c r="H26" s="73">
        <f t="shared" si="6"/>
        <v>2507083209.4606252</v>
      </c>
      <c r="I26" s="73">
        <f t="shared" si="2"/>
        <v>0</v>
      </c>
      <c r="J26" s="73">
        <f t="shared" si="15"/>
        <v>1099999945.6499999</v>
      </c>
      <c r="K26" s="73">
        <f t="shared" si="3"/>
        <v>0</v>
      </c>
      <c r="L26" s="73"/>
      <c r="M26" s="88">
        <f t="shared" si="7"/>
        <v>46006</v>
      </c>
      <c r="N26" s="88"/>
      <c r="O26" s="133">
        <f t="shared" si="16"/>
        <v>46006</v>
      </c>
      <c r="P26" s="89">
        <f>MIN(B26-Q26,S25)</f>
        <v>24741265868.349998</v>
      </c>
      <c r="Q26" s="89">
        <f>+(($P$7*S25)/$C$8)*$D26</f>
        <v>1099999945.6499999</v>
      </c>
      <c r="R26" s="89">
        <f t="shared" si="8"/>
        <v>25841265814</v>
      </c>
      <c r="S26" s="90">
        <f t="shared" si="9"/>
        <v>63258729783.650002</v>
      </c>
      <c r="U26" s="40">
        <f t="shared" si="10"/>
        <v>46006</v>
      </c>
      <c r="V26" s="73">
        <f>+IF(Y25&gt;0,MIN(B26-W26,Y25),0)</f>
        <v>23334182604.539375</v>
      </c>
      <c r="W26" s="73">
        <f>+((G26*Y25)/$C$8)*$D26</f>
        <v>2507083209.4606252</v>
      </c>
      <c r="X26" s="73">
        <f>+W26+V26</f>
        <v>25841265814</v>
      </c>
      <c r="Y26" s="91">
        <f>+Y25-V26</f>
        <v>64665813047.460625</v>
      </c>
      <c r="AA26" s="92">
        <f t="shared" si="18"/>
        <v>25841265814</v>
      </c>
      <c r="AB26" s="93">
        <f>+R26</f>
        <v>25841265814</v>
      </c>
      <c r="AC26" s="70">
        <f>+O26-$O$19</f>
        <v>193</v>
      </c>
      <c r="AD26" s="70">
        <f t="shared" si="4"/>
        <v>23927003263.48299</v>
      </c>
      <c r="AE26" s="71">
        <f t="shared" si="1"/>
        <v>52.476270967930041</v>
      </c>
    </row>
    <row r="27" spans="2:31" ht="15.6" customHeight="1" thickBot="1" x14ac:dyDescent="0.3">
      <c r="B27" s="141">
        <v>22002334819</v>
      </c>
      <c r="D27" s="84">
        <v>30</v>
      </c>
      <c r="E27" s="105"/>
      <c r="F27" s="137">
        <f t="shared" si="14"/>
        <v>0.33187499999999998</v>
      </c>
      <c r="G27" s="86">
        <f t="shared" si="5"/>
        <v>0.34187499999999998</v>
      </c>
      <c r="H27" s="73">
        <f t="shared" si="6"/>
        <v>1842302069.6333833</v>
      </c>
      <c r="I27" s="73">
        <f t="shared" si="2"/>
        <v>0</v>
      </c>
      <c r="J27" s="73">
        <f t="shared" si="15"/>
        <v>790734122.29562497</v>
      </c>
      <c r="K27" s="73">
        <f t="shared" si="3"/>
        <v>0</v>
      </c>
      <c r="L27" s="73"/>
      <c r="M27" s="88">
        <f t="shared" si="7"/>
        <v>46037</v>
      </c>
      <c r="N27" s="88"/>
      <c r="O27" s="133">
        <f t="shared" si="16"/>
        <v>46037</v>
      </c>
      <c r="P27" s="89">
        <f t="shared" ref="P27:P32" si="21">MIN(B27-Q27,S26)</f>
        <v>21211600696.704376</v>
      </c>
      <c r="Q27" s="89">
        <f t="shared" si="17"/>
        <v>790734122.29562497</v>
      </c>
      <c r="R27" s="89">
        <f t="shared" si="8"/>
        <v>22002334819</v>
      </c>
      <c r="S27" s="90">
        <f t="shared" si="9"/>
        <v>42047129086.945625</v>
      </c>
      <c r="U27" s="40">
        <f t="shared" si="10"/>
        <v>46037</v>
      </c>
      <c r="V27" s="73">
        <f t="shared" ref="V27:V34" si="22">+IF(Y26&gt;0,MIN(B27-W27,Y26),0)</f>
        <v>20160032749.366615</v>
      </c>
      <c r="W27" s="73">
        <f t="shared" si="11"/>
        <v>1842302069.6333833</v>
      </c>
      <c r="X27" s="73">
        <f t="shared" si="20"/>
        <v>22002334819</v>
      </c>
      <c r="Y27" s="91">
        <f>+Y26-V27</f>
        <v>44505780298.094009</v>
      </c>
      <c r="AA27" s="92">
        <f t="shared" si="18"/>
        <v>22002334819</v>
      </c>
      <c r="AB27" s="93">
        <f t="shared" si="19"/>
        <v>22002334819</v>
      </c>
      <c r="AC27" s="70">
        <f t="shared" si="13"/>
        <v>224</v>
      </c>
      <c r="AD27" s="70">
        <f t="shared" si="4"/>
        <v>20122152498.477425</v>
      </c>
      <c r="AE27" s="71">
        <f t="shared" si="1"/>
        <v>51.220026929884426</v>
      </c>
    </row>
    <row r="28" spans="2:31" ht="15.75" thickBot="1" x14ac:dyDescent="0.3">
      <c r="B28" s="141">
        <v>17112536132</v>
      </c>
      <c r="D28" s="84">
        <v>30</v>
      </c>
      <c r="E28" s="105"/>
      <c r="F28" s="137">
        <f t="shared" si="14"/>
        <v>0.33187499999999998</v>
      </c>
      <c r="G28" s="86">
        <f t="shared" si="5"/>
        <v>0.34187499999999998</v>
      </c>
      <c r="H28" s="73">
        <f t="shared" si="6"/>
        <v>1267951136.617574</v>
      </c>
      <c r="I28" s="73">
        <f t="shared" si="2"/>
        <v>0</v>
      </c>
      <c r="J28" s="73">
        <f t="shared" si="15"/>
        <v>525589113.5868203</v>
      </c>
      <c r="K28" s="73">
        <f t="shared" si="3"/>
        <v>0</v>
      </c>
      <c r="L28" s="73"/>
      <c r="M28" s="88">
        <f t="shared" si="7"/>
        <v>46068</v>
      </c>
      <c r="N28" s="88"/>
      <c r="O28" s="133">
        <f t="shared" si="16"/>
        <v>46068</v>
      </c>
      <c r="P28" s="89">
        <f t="shared" si="21"/>
        <v>16586947018.413179</v>
      </c>
      <c r="Q28" s="89">
        <f t="shared" si="17"/>
        <v>525589113.5868203</v>
      </c>
      <c r="R28" s="89">
        <f t="shared" si="8"/>
        <v>17112536132</v>
      </c>
      <c r="S28" s="90">
        <f>+S27-P28</f>
        <v>25460182068.532448</v>
      </c>
      <c r="U28" s="40">
        <f t="shared" si="10"/>
        <v>46068</v>
      </c>
      <c r="V28" s="73">
        <f t="shared" si="22"/>
        <v>15844584995.382425</v>
      </c>
      <c r="W28" s="73">
        <f t="shared" si="11"/>
        <v>1267951136.617574</v>
      </c>
      <c r="X28" s="73">
        <f t="shared" si="20"/>
        <v>17112536132</v>
      </c>
      <c r="Y28" s="91">
        <f>+Y27-V28</f>
        <v>28661195302.711586</v>
      </c>
      <c r="AA28" s="92">
        <f t="shared" si="18"/>
        <v>17112536132</v>
      </c>
      <c r="AB28" s="93">
        <f t="shared" si="19"/>
        <v>17112536132</v>
      </c>
      <c r="AC28" s="70">
        <f t="shared" si="13"/>
        <v>255</v>
      </c>
      <c r="AD28" s="70">
        <f t="shared" si="4"/>
        <v>15457924661.436144</v>
      </c>
      <c r="AE28" s="71">
        <f t="shared" si="1"/>
        <v>44.792851959823949</v>
      </c>
    </row>
    <row r="29" spans="2:31" ht="15.75" thickBot="1" x14ac:dyDescent="0.3">
      <c r="B29" s="141">
        <v>15541238139</v>
      </c>
      <c r="C29" s="63"/>
      <c r="D29" s="84">
        <v>30</v>
      </c>
      <c r="E29" s="105"/>
      <c r="F29" s="137">
        <f t="shared" si="14"/>
        <v>0.33187499999999998</v>
      </c>
      <c r="G29" s="86">
        <f t="shared" si="5"/>
        <v>0.34187499999999998</v>
      </c>
      <c r="H29" s="73">
        <f t="shared" si="6"/>
        <v>816545512.00954354</v>
      </c>
      <c r="I29" s="73">
        <f t="shared" si="2"/>
        <v>0</v>
      </c>
      <c r="J29" s="73">
        <f t="shared" si="15"/>
        <v>318252275.8566556</v>
      </c>
      <c r="K29" s="73">
        <f t="shared" si="3"/>
        <v>0</v>
      </c>
      <c r="L29" s="73"/>
      <c r="M29" s="88">
        <f t="shared" si="7"/>
        <v>46096</v>
      </c>
      <c r="N29" s="88"/>
      <c r="O29" s="133">
        <f t="shared" si="16"/>
        <v>46096</v>
      </c>
      <c r="P29" s="89">
        <f t="shared" si="21"/>
        <v>15222985863.143345</v>
      </c>
      <c r="Q29" s="89">
        <f t="shared" si="17"/>
        <v>318252275.8566556</v>
      </c>
      <c r="R29" s="89">
        <f t="shared" si="8"/>
        <v>15541238139</v>
      </c>
      <c r="S29" s="90">
        <f>+S28-P29</f>
        <v>10237196205.389103</v>
      </c>
      <c r="U29" s="40">
        <f t="shared" si="10"/>
        <v>46096</v>
      </c>
      <c r="V29" s="73">
        <f t="shared" si="22"/>
        <v>14724692626.990456</v>
      </c>
      <c r="W29" s="73">
        <f t="shared" si="11"/>
        <v>816545512.00954354</v>
      </c>
      <c r="X29" s="73">
        <f t="shared" si="20"/>
        <v>15541238139</v>
      </c>
      <c r="Y29" s="91">
        <f t="shared" si="12"/>
        <v>13936502675.72113</v>
      </c>
      <c r="AA29" s="92">
        <f t="shared" ref="AA29:AA36" si="23">+X29</f>
        <v>15541238139</v>
      </c>
      <c r="AB29" s="93">
        <f t="shared" ref="AB29:AB36" si="24">+R29</f>
        <v>15541238139</v>
      </c>
      <c r="AC29" s="70">
        <f t="shared" ref="AC29:AC31" si="25">+O29-$O$19</f>
        <v>283</v>
      </c>
      <c r="AD29" s="70">
        <f t="shared" si="4"/>
        <v>13882674200.82618</v>
      </c>
      <c r="AE29" s="71">
        <f t="shared" si="1"/>
        <v>44.645420250308447</v>
      </c>
    </row>
    <row r="30" spans="2:31" ht="15.75" thickBot="1" x14ac:dyDescent="0.3">
      <c r="B30" s="142">
        <f>10365161159+3288802062</f>
        <v>13653963221</v>
      </c>
      <c r="C30" s="63"/>
      <c r="D30" s="84">
        <v>30</v>
      </c>
      <c r="E30" s="105"/>
      <c r="F30" s="137">
        <f t="shared" si="14"/>
        <v>0.33187499999999998</v>
      </c>
      <c r="G30" s="86">
        <f t="shared" si="5"/>
        <v>0.34187499999999998</v>
      </c>
      <c r="H30" s="73">
        <f t="shared" si="6"/>
        <v>397045154.35518008</v>
      </c>
      <c r="I30" s="73">
        <f t="shared" si="2"/>
        <v>0</v>
      </c>
      <c r="J30" s="73">
        <f t="shared" si="15"/>
        <v>127964952.56736377</v>
      </c>
      <c r="K30" s="73">
        <f t="shared" si="3"/>
        <v>0</v>
      </c>
      <c r="L30" s="73"/>
      <c r="M30" s="88">
        <f t="shared" si="7"/>
        <v>46127</v>
      </c>
      <c r="N30" s="88"/>
      <c r="O30" s="133">
        <f t="shared" si="16"/>
        <v>46127</v>
      </c>
      <c r="P30" s="89">
        <f t="shared" si="21"/>
        <v>10237196205.389103</v>
      </c>
      <c r="Q30" s="89">
        <f t="shared" si="17"/>
        <v>127964952.56736377</v>
      </c>
      <c r="R30" s="89">
        <f t="shared" si="8"/>
        <v>10365161157.956467</v>
      </c>
      <c r="S30" s="90">
        <f>+S29-P30</f>
        <v>0</v>
      </c>
      <c r="U30" s="40">
        <f t="shared" si="10"/>
        <v>46127</v>
      </c>
      <c r="V30" s="73">
        <f t="shared" si="22"/>
        <v>13256918066.644819</v>
      </c>
      <c r="W30" s="73">
        <f t="shared" si="11"/>
        <v>397045154.35518008</v>
      </c>
      <c r="X30" s="73">
        <f t="shared" si="20"/>
        <v>13653963221</v>
      </c>
      <c r="Y30" s="91">
        <f t="shared" si="12"/>
        <v>679584609.07631111</v>
      </c>
      <c r="AA30" s="92">
        <f t="shared" si="23"/>
        <v>13653963221</v>
      </c>
      <c r="AB30" s="93">
        <f t="shared" si="24"/>
        <v>10365161157.956467</v>
      </c>
      <c r="AC30" s="70">
        <f t="shared" si="25"/>
        <v>314</v>
      </c>
      <c r="AD30" s="70">
        <f t="shared" si="4"/>
        <v>9145231779.2590199</v>
      </c>
      <c r="AE30" s="71">
        <f t="shared" si="1"/>
        <v>32.631851279380093</v>
      </c>
    </row>
    <row r="31" spans="2:31" ht="15.75" thickBot="1" x14ac:dyDescent="0.3">
      <c r="B31" s="142">
        <v>7840881207</v>
      </c>
      <c r="C31" s="63"/>
      <c r="D31" s="84">
        <v>30</v>
      </c>
      <c r="E31" s="105"/>
      <c r="F31" s="137">
        <f t="shared" si="14"/>
        <v>0.33187499999999998</v>
      </c>
      <c r="G31" s="86">
        <f t="shared" si="5"/>
        <v>0.34187499999999998</v>
      </c>
      <c r="H31" s="73">
        <f t="shared" si="6"/>
        <v>19361082.35233032</v>
      </c>
      <c r="I31" s="73">
        <f t="shared" si="2"/>
        <v>0</v>
      </c>
      <c r="J31" s="73">
        <f t="shared" si="15"/>
        <v>0</v>
      </c>
      <c r="K31" s="73">
        <f t="shared" si="3"/>
        <v>0</v>
      </c>
      <c r="L31" s="73"/>
      <c r="M31" s="88">
        <f t="shared" ref="M31:M36" si="26">+U31</f>
        <v>46157</v>
      </c>
      <c r="N31" s="88"/>
      <c r="O31" s="133">
        <v>46157</v>
      </c>
      <c r="P31" s="89">
        <f t="shared" si="21"/>
        <v>0</v>
      </c>
      <c r="Q31" s="89">
        <f t="shared" si="17"/>
        <v>0</v>
      </c>
      <c r="R31" s="89">
        <f t="shared" si="8"/>
        <v>0</v>
      </c>
      <c r="S31" s="90">
        <f t="shared" ref="S31:S32" si="27">+S30-P31</f>
        <v>0</v>
      </c>
      <c r="U31" s="40">
        <f t="shared" si="10"/>
        <v>46157</v>
      </c>
      <c r="V31" s="73">
        <f>+IF(Y30&gt;0,MIN(B31-W31,Y30),0)</f>
        <v>679584609.07631111</v>
      </c>
      <c r="W31" s="73">
        <f t="shared" si="11"/>
        <v>19361082.35233032</v>
      </c>
      <c r="X31" s="73">
        <f t="shared" si="20"/>
        <v>698945691.42864144</v>
      </c>
      <c r="Y31" s="91">
        <f t="shared" si="12"/>
        <v>0</v>
      </c>
      <c r="AA31" s="92">
        <f t="shared" si="23"/>
        <v>698945691.42864144</v>
      </c>
      <c r="AB31" s="93">
        <f t="shared" si="24"/>
        <v>0</v>
      </c>
      <c r="AC31" s="70">
        <f t="shared" si="25"/>
        <v>344</v>
      </c>
      <c r="AD31" s="70">
        <f t="shared" si="4"/>
        <v>0</v>
      </c>
      <c r="AE31" s="71">
        <f t="shared" si="1"/>
        <v>0</v>
      </c>
    </row>
    <row r="32" spans="2:31" ht="15.75" hidden="1" thickBot="1" x14ac:dyDescent="0.3">
      <c r="B32" s="142"/>
      <c r="C32" s="63"/>
      <c r="D32" s="84">
        <v>30</v>
      </c>
      <c r="E32" s="105"/>
      <c r="F32" s="137">
        <f t="shared" si="14"/>
        <v>0.33187499999999998</v>
      </c>
      <c r="G32" s="86">
        <f t="shared" si="5"/>
        <v>0.34187499999999998</v>
      </c>
      <c r="H32" s="73">
        <f t="shared" si="6"/>
        <v>0</v>
      </c>
      <c r="I32" s="73">
        <f t="shared" si="2"/>
        <v>0</v>
      </c>
      <c r="J32" s="73">
        <f t="shared" si="15"/>
        <v>0</v>
      </c>
      <c r="K32" s="73">
        <f t="shared" si="3"/>
        <v>0</v>
      </c>
      <c r="L32" s="73"/>
      <c r="M32" s="88">
        <f t="shared" si="26"/>
        <v>46188</v>
      </c>
      <c r="N32" s="88"/>
      <c r="O32" s="133">
        <f t="shared" ref="O32:O34" si="28">DATE(YEAR($O$20), MONTH($O$20)+ROW()-ROW($O$20), 15)</f>
        <v>46188</v>
      </c>
      <c r="P32" s="89">
        <f t="shared" si="21"/>
        <v>0</v>
      </c>
      <c r="Q32" s="89">
        <f t="shared" si="17"/>
        <v>0</v>
      </c>
      <c r="R32" s="89">
        <f t="shared" si="8"/>
        <v>0</v>
      </c>
      <c r="S32" s="90">
        <f t="shared" si="27"/>
        <v>0</v>
      </c>
      <c r="U32" s="40">
        <f t="shared" si="10"/>
        <v>46188</v>
      </c>
      <c r="V32" s="73">
        <f t="shared" si="22"/>
        <v>0</v>
      </c>
      <c r="W32" s="73">
        <f t="shared" si="11"/>
        <v>0</v>
      </c>
      <c r="X32" s="73">
        <f t="shared" si="20"/>
        <v>0</v>
      </c>
      <c r="Y32" s="91">
        <f t="shared" si="12"/>
        <v>0</v>
      </c>
      <c r="AA32" s="92">
        <f t="shared" si="23"/>
        <v>0</v>
      </c>
      <c r="AB32" s="93">
        <f t="shared" si="24"/>
        <v>0</v>
      </c>
      <c r="AC32" s="70"/>
      <c r="AD32" s="70">
        <f t="shared" si="0"/>
        <v>0</v>
      </c>
      <c r="AE32" s="71">
        <f t="shared" ref="AE32:AE36" si="29">+AD32/$AD$37*AC32</f>
        <v>0</v>
      </c>
    </row>
    <row r="33" spans="2:31" ht="15.75" hidden="1" thickBot="1" x14ac:dyDescent="0.3">
      <c r="B33" s="83"/>
      <c r="C33" s="63"/>
      <c r="D33" s="84">
        <v>30</v>
      </c>
      <c r="E33" s="105"/>
      <c r="F33" s="137">
        <f t="shared" si="14"/>
        <v>0.33187499999999998</v>
      </c>
      <c r="G33" s="86">
        <f t="shared" si="5"/>
        <v>0.34187499999999998</v>
      </c>
      <c r="H33" s="73">
        <f t="shared" si="6"/>
        <v>0</v>
      </c>
      <c r="I33" s="73">
        <f t="shared" si="2"/>
        <v>0</v>
      </c>
      <c r="J33" s="73">
        <f t="shared" si="15"/>
        <v>0</v>
      </c>
      <c r="K33" s="73">
        <f t="shared" si="3"/>
        <v>0</v>
      </c>
      <c r="L33" s="73"/>
      <c r="M33" s="88">
        <f t="shared" si="26"/>
        <v>46218</v>
      </c>
      <c r="N33" s="88"/>
      <c r="O33" s="133">
        <f t="shared" si="28"/>
        <v>46218</v>
      </c>
      <c r="P33" s="89"/>
      <c r="Q33" s="89"/>
      <c r="R33" s="89"/>
      <c r="S33" s="90"/>
      <c r="U33" s="40">
        <f t="shared" si="10"/>
        <v>46218</v>
      </c>
      <c r="V33" s="73">
        <f t="shared" si="22"/>
        <v>0</v>
      </c>
      <c r="W33" s="73">
        <f t="shared" si="11"/>
        <v>0</v>
      </c>
      <c r="X33" s="73">
        <f t="shared" si="20"/>
        <v>0</v>
      </c>
      <c r="Y33" s="91">
        <f t="shared" si="12"/>
        <v>0</v>
      </c>
      <c r="AA33" s="92">
        <f t="shared" si="23"/>
        <v>0</v>
      </c>
      <c r="AB33" s="93">
        <f t="shared" si="24"/>
        <v>0</v>
      </c>
      <c r="AC33" s="70"/>
      <c r="AD33" s="70">
        <f t="shared" si="0"/>
        <v>0</v>
      </c>
      <c r="AE33" s="71">
        <f t="shared" si="29"/>
        <v>0</v>
      </c>
    </row>
    <row r="34" spans="2:31" ht="15.75" hidden="1" thickBot="1" x14ac:dyDescent="0.3">
      <c r="B34" s="83"/>
      <c r="C34" s="63"/>
      <c r="D34" s="84">
        <v>30</v>
      </c>
      <c r="E34" s="105"/>
      <c r="F34" s="137">
        <f t="shared" si="14"/>
        <v>0.33187499999999998</v>
      </c>
      <c r="G34" s="86">
        <f t="shared" si="5"/>
        <v>0.34187499999999998</v>
      </c>
      <c r="H34" s="73">
        <f t="shared" si="6"/>
        <v>0</v>
      </c>
      <c r="I34" s="73">
        <f t="shared" si="2"/>
        <v>0</v>
      </c>
      <c r="J34" s="73">
        <f t="shared" si="15"/>
        <v>0</v>
      </c>
      <c r="K34" s="73">
        <f t="shared" si="3"/>
        <v>0</v>
      </c>
      <c r="L34" s="73"/>
      <c r="M34" s="88">
        <f>+U34+2</f>
        <v>46251</v>
      </c>
      <c r="N34" s="88"/>
      <c r="O34" s="133">
        <f t="shared" si="28"/>
        <v>46249</v>
      </c>
      <c r="P34" s="89"/>
      <c r="Q34" s="89"/>
      <c r="R34" s="89"/>
      <c r="S34" s="90"/>
      <c r="U34" s="40">
        <f t="shared" si="10"/>
        <v>46249</v>
      </c>
      <c r="V34" s="73">
        <f t="shared" si="22"/>
        <v>0</v>
      </c>
      <c r="W34" s="73">
        <f>+((G34*Y33)/$C$8)*$D34</f>
        <v>0</v>
      </c>
      <c r="X34" s="73">
        <f t="shared" si="20"/>
        <v>0</v>
      </c>
      <c r="Y34" s="91">
        <f t="shared" si="12"/>
        <v>0</v>
      </c>
      <c r="AA34" s="92">
        <f t="shared" si="23"/>
        <v>0</v>
      </c>
      <c r="AB34" s="93">
        <f t="shared" si="24"/>
        <v>0</v>
      </c>
      <c r="AC34" s="70"/>
      <c r="AD34" s="70">
        <f t="shared" si="0"/>
        <v>0</v>
      </c>
      <c r="AE34" s="71">
        <f t="shared" si="29"/>
        <v>0</v>
      </c>
    </row>
    <row r="35" spans="2:31" ht="15.75" hidden="1" thickBot="1" x14ac:dyDescent="0.3">
      <c r="B35" s="83"/>
      <c r="C35" s="63"/>
      <c r="D35" s="84">
        <v>30</v>
      </c>
      <c r="E35" s="105"/>
      <c r="F35" s="137">
        <f t="shared" si="14"/>
        <v>0.33187499999999998</v>
      </c>
      <c r="G35" s="86">
        <f t="shared" si="5"/>
        <v>0.34187499999999998</v>
      </c>
      <c r="H35" s="73">
        <f t="shared" si="6"/>
        <v>0</v>
      </c>
      <c r="I35" s="73">
        <f t="shared" si="2"/>
        <v>0</v>
      </c>
      <c r="J35" s="73">
        <f t="shared" si="15"/>
        <v>0</v>
      </c>
      <c r="K35" s="73">
        <f t="shared" si="3"/>
        <v>0</v>
      </c>
      <c r="L35" s="73"/>
      <c r="M35" s="88">
        <f t="shared" si="26"/>
        <v>0</v>
      </c>
      <c r="N35" s="88"/>
      <c r="O35" s="133"/>
      <c r="P35" s="89"/>
      <c r="Q35" s="89"/>
      <c r="R35" s="89"/>
      <c r="S35" s="90"/>
      <c r="U35" s="40"/>
      <c r="V35" s="73"/>
      <c r="W35" s="73"/>
      <c r="X35" s="73"/>
      <c r="Y35" s="91"/>
      <c r="AA35" s="92">
        <f t="shared" si="23"/>
        <v>0</v>
      </c>
      <c r="AB35" s="93">
        <f t="shared" si="24"/>
        <v>0</v>
      </c>
      <c r="AC35" s="70"/>
      <c r="AD35" s="70">
        <f t="shared" si="0"/>
        <v>0</v>
      </c>
      <c r="AE35" s="71">
        <f t="shared" si="29"/>
        <v>0</v>
      </c>
    </row>
    <row r="36" spans="2:31" ht="15.75" hidden="1" thickBot="1" x14ac:dyDescent="0.3">
      <c r="B36" s="83"/>
      <c r="C36" s="63"/>
      <c r="D36" s="84">
        <v>30</v>
      </c>
      <c r="E36" s="105"/>
      <c r="F36" s="137">
        <f t="shared" si="14"/>
        <v>0.33187499999999998</v>
      </c>
      <c r="G36" s="86">
        <f t="shared" si="5"/>
        <v>0.34187499999999998</v>
      </c>
      <c r="H36" s="73">
        <f t="shared" si="6"/>
        <v>0</v>
      </c>
      <c r="I36" s="73">
        <f t="shared" si="2"/>
        <v>0</v>
      </c>
      <c r="J36" s="73">
        <f t="shared" si="15"/>
        <v>0</v>
      </c>
      <c r="K36" s="73">
        <f t="shared" si="3"/>
        <v>0</v>
      </c>
      <c r="L36" s="73"/>
      <c r="M36" s="88">
        <f t="shared" si="26"/>
        <v>0</v>
      </c>
      <c r="N36" s="88"/>
      <c r="O36" s="133"/>
      <c r="P36" s="89"/>
      <c r="Q36" s="89"/>
      <c r="R36" s="89"/>
      <c r="S36" s="90"/>
      <c r="U36" s="40"/>
      <c r="V36" s="73"/>
      <c r="W36" s="73"/>
      <c r="X36" s="73"/>
      <c r="Y36" s="91"/>
      <c r="AA36" s="92">
        <f t="shared" si="23"/>
        <v>0</v>
      </c>
      <c r="AB36" s="93">
        <f t="shared" si="24"/>
        <v>0</v>
      </c>
      <c r="AC36" s="70"/>
      <c r="AD36" s="70">
        <f t="shared" si="0"/>
        <v>0</v>
      </c>
      <c r="AE36" s="71">
        <f t="shared" si="29"/>
        <v>0</v>
      </c>
    </row>
    <row r="37" spans="2:31" ht="15.75" hidden="1" thickBot="1" x14ac:dyDescent="0.3">
      <c r="B37" s="83"/>
      <c r="C37" s="63"/>
      <c r="D37" s="84"/>
      <c r="E37" s="84"/>
      <c r="F37" s="137">
        <f t="shared" si="14"/>
        <v>0.33187499999999998</v>
      </c>
      <c r="G37" s="86">
        <f t="shared" si="5"/>
        <v>0.34187499999999998</v>
      </c>
      <c r="H37" s="73">
        <f t="shared" si="6"/>
        <v>0</v>
      </c>
      <c r="I37" s="73"/>
      <c r="J37" s="73"/>
      <c r="K37" s="73"/>
      <c r="L37" s="73"/>
      <c r="O37" s="133"/>
      <c r="P37" s="89"/>
      <c r="Q37" s="89"/>
      <c r="R37" s="89"/>
      <c r="S37" s="90"/>
      <c r="U37" s="40"/>
      <c r="V37" s="73"/>
      <c r="W37" s="73"/>
      <c r="X37" s="73"/>
      <c r="Y37" s="91"/>
      <c r="AA37" s="98"/>
      <c r="AB37" s="146">
        <f>+XIRR(AB19:AB36,O19:O36)</f>
        <v>0.1566820085048676</v>
      </c>
      <c r="AC37" s="99"/>
      <c r="AD37" s="100">
        <f>SUM(AD19:AD36)</f>
        <v>87999995896.70488</v>
      </c>
      <c r="AE37" s="101"/>
    </row>
    <row r="38" spans="2:31" ht="15.75" thickBot="1" x14ac:dyDescent="0.3">
      <c r="B38" s="63"/>
      <c r="C38" s="63"/>
      <c r="D38" s="84"/>
      <c r="E38" s="84"/>
      <c r="F38" s="137"/>
      <c r="G38" s="86"/>
      <c r="H38" s="73"/>
      <c r="I38" s="73"/>
      <c r="J38" s="73"/>
      <c r="K38" s="73"/>
      <c r="L38" s="73"/>
      <c r="O38" s="94" t="s">
        <v>24</v>
      </c>
      <c r="P38" s="95">
        <f>SUM(P20:P36)</f>
        <v>87999995652</v>
      </c>
      <c r="Q38" s="95">
        <f>+SUM(Q20:Q36)</f>
        <v>8545873462.4814625</v>
      </c>
      <c r="R38" s="95">
        <f>+SUM(R20:R36)</f>
        <v>96545869114.481461</v>
      </c>
      <c r="S38" s="96"/>
      <c r="U38" s="97" t="s">
        <v>24</v>
      </c>
      <c r="V38" s="95">
        <f>+SUM(V20:V36)</f>
        <v>87999995652</v>
      </c>
      <c r="W38" s="95">
        <f>+SUM(W20:W36)</f>
        <v>19803551413.308529</v>
      </c>
      <c r="X38" s="95">
        <f>+SUM(X20:X36)</f>
        <v>107803547065.30853</v>
      </c>
      <c r="Y38" s="96"/>
      <c r="AA38" s="102"/>
      <c r="AB38" s="102"/>
    </row>
    <row r="39" spans="2:31" x14ac:dyDescent="0.25">
      <c r="B39" s="83"/>
      <c r="C39" s="63"/>
      <c r="D39" s="103"/>
      <c r="E39" s="103"/>
      <c r="F39" s="85"/>
      <c r="G39" s="86"/>
      <c r="H39" s="73"/>
      <c r="I39" s="73"/>
      <c r="J39" s="73"/>
      <c r="K39" s="73"/>
      <c r="L39" s="73"/>
      <c r="U39" s="63"/>
      <c r="V39" s="73"/>
      <c r="W39" s="73"/>
      <c r="X39" s="73"/>
      <c r="Y39" s="87"/>
      <c r="AA39" s="102"/>
      <c r="AD39" s="87"/>
    </row>
    <row r="40" spans="2:31" ht="15" customHeight="1" x14ac:dyDescent="0.25">
      <c r="B40" s="104"/>
      <c r="H40" s="104">
        <f>+SUM(H20:H39)</f>
        <v>19803551413.308529</v>
      </c>
    </row>
    <row r="41" spans="2:31" x14ac:dyDescent="0.25">
      <c r="O41" s="147" t="s">
        <v>35</v>
      </c>
      <c r="P41" s="147"/>
      <c r="Q41" s="147"/>
      <c r="R41" s="147"/>
      <c r="S41" s="147"/>
      <c r="T41" s="147"/>
      <c r="U41" s="147"/>
      <c r="V41" s="147"/>
      <c r="W41" s="147"/>
      <c r="X41" s="147"/>
      <c r="Y41" s="147"/>
    </row>
    <row r="42" spans="2:31" x14ac:dyDescent="0.25"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</row>
    <row r="43" spans="2:31" x14ac:dyDescent="0.25"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</row>
    <row r="47" spans="2:31" x14ac:dyDescent="0.25">
      <c r="O47"/>
      <c r="R47" s="140"/>
      <c r="S47" s="140"/>
      <c r="U47" s="140"/>
    </row>
    <row r="48" spans="2:31" x14ac:dyDescent="0.25">
      <c r="O48"/>
      <c r="R48" s="140"/>
      <c r="S48" s="140"/>
      <c r="U48" s="140"/>
    </row>
    <row r="49" spans="15:21" x14ac:dyDescent="0.25">
      <c r="O49"/>
      <c r="R49" s="140"/>
      <c r="U49" s="140"/>
    </row>
    <row r="50" spans="15:21" x14ac:dyDescent="0.25">
      <c r="O50"/>
      <c r="R50" s="140"/>
      <c r="U50" s="140"/>
    </row>
    <row r="51" spans="15:21" x14ac:dyDescent="0.25">
      <c r="O51"/>
      <c r="R51" s="140"/>
      <c r="U51" s="140"/>
    </row>
    <row r="52" spans="15:21" x14ac:dyDescent="0.25">
      <c r="O52"/>
      <c r="R52" s="140"/>
      <c r="U52" s="140"/>
    </row>
    <row r="53" spans="15:21" x14ac:dyDescent="0.25">
      <c r="O53"/>
      <c r="R53" s="140"/>
      <c r="T53" s="140"/>
      <c r="U53" s="140"/>
    </row>
    <row r="54" spans="15:21" x14ac:dyDescent="0.25">
      <c r="O54"/>
      <c r="R54" s="140"/>
      <c r="T54" s="140"/>
      <c r="U54" s="140"/>
    </row>
    <row r="55" spans="15:21" x14ac:dyDescent="0.25">
      <c r="O55"/>
      <c r="R55" s="140"/>
      <c r="T55" s="140"/>
      <c r="U55" s="140"/>
    </row>
    <row r="56" spans="15:21" x14ac:dyDescent="0.25">
      <c r="O56"/>
      <c r="R56" s="140"/>
      <c r="T56" s="140"/>
      <c r="U56" s="140"/>
    </row>
    <row r="57" spans="15:21" x14ac:dyDescent="0.25">
      <c r="O57"/>
      <c r="R57" s="140"/>
      <c r="T57" s="140"/>
      <c r="U57" s="140"/>
    </row>
    <row r="67" ht="15" customHeight="1" x14ac:dyDescent="0.25"/>
    <row r="68" ht="15" customHeight="1" x14ac:dyDescent="0.25"/>
  </sheetData>
  <sheetProtection algorithmName="SHA-512" hashValue="CgK/Eqog2Wx0Vg4w65Is/otrICXT12KdoojL+Z9Lgvlj7oxXUPHBmeOu+RsZWXWyI6bi7nYCAYwvxuCAfjP9dg==" saltValue="21jY+LOeJE2BNH1mGnO4XA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2018-11-09T18:31:28Z</dcterms:created>
  <dcterms:modified xsi:type="dcterms:W3CDTF">2025-06-03T13:19:12Z</dcterms:modified>
</cp:coreProperties>
</file>