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files2\Compartida\Finanzas Corporativas\EMPRESAS\Petrolera Aconcagua\Clase XII y XIII\"/>
    </mc:Choice>
  </mc:AlternateContent>
  <xr:revisionPtr revIDLastSave="0" documentId="13_ncr:1_{2764DDFF-46B0-4C92-9232-40AB0FD78541}" xr6:coauthVersionLast="47" xr6:coauthVersionMax="47" xr10:uidLastSave="{00000000-0000-0000-0000-000000000000}"/>
  <bookViews>
    <workbookView xWindow="-120" yWindow="-120" windowWidth="29040" windowHeight="15840" xr2:uid="{5A7869C8-6724-4931-8FBD-F406316EB44F}"/>
  </bookViews>
  <sheets>
    <sheet name=" ON Clase XII" sheetId="3" r:id="rId1"/>
    <sheet name="ON Clase XIII" sheetId="5" r:id="rId2"/>
  </sheets>
  <definedNames>
    <definedName name="_xlnm.Print_Area" localSheetId="0">' ON Clase XII'!$A$8:$O$18</definedName>
    <definedName name="_xlnm.Print_Area" localSheetId="1">'ON Clase XIII'!$A$8:$O$17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5" l="1"/>
  <c r="F28" i="5" s="1"/>
  <c r="O28" i="5" s="1"/>
  <c r="D24" i="3"/>
  <c r="H24" i="3"/>
  <c r="H20" i="3"/>
  <c r="H19" i="3"/>
  <c r="H18" i="3"/>
  <c r="H17" i="3"/>
  <c r="O27" i="5"/>
  <c r="O26" i="5"/>
  <c r="O25" i="5"/>
  <c r="O24" i="5"/>
  <c r="O23" i="5"/>
  <c r="J28" i="5"/>
  <c r="J29" i="5" s="1"/>
  <c r="H28" i="5"/>
  <c r="H27" i="5"/>
  <c r="H26" i="5"/>
  <c r="H25" i="5"/>
  <c r="H24" i="5"/>
  <c r="H23" i="5"/>
  <c r="D27" i="5"/>
  <c r="D25" i="5"/>
  <c r="F27" i="5"/>
  <c r="F26" i="5"/>
  <c r="F25" i="5"/>
  <c r="F24" i="5"/>
  <c r="F23" i="5"/>
  <c r="D24" i="5"/>
  <c r="D23" i="5"/>
  <c r="D22" i="5"/>
  <c r="D21" i="5"/>
  <c r="D20" i="5"/>
  <c r="D19" i="5"/>
  <c r="D18" i="5"/>
  <c r="D17" i="5"/>
  <c r="D16" i="5"/>
  <c r="D26" i="5"/>
  <c r="C28" i="5"/>
  <c r="C27" i="5"/>
  <c r="C26" i="5"/>
  <c r="C25" i="5"/>
  <c r="C24" i="5"/>
  <c r="C23" i="5"/>
  <c r="D22" i="3"/>
  <c r="D21" i="3"/>
  <c r="D20" i="3"/>
  <c r="D18" i="3"/>
  <c r="J24" i="3"/>
  <c r="J29" i="3" s="1"/>
  <c r="H18" i="5"/>
  <c r="H19" i="5"/>
  <c r="H20" i="5"/>
  <c r="H21" i="5"/>
  <c r="H22" i="5"/>
  <c r="D23" i="3"/>
  <c r="H21" i="3"/>
  <c r="H22" i="3"/>
  <c r="H23" i="3"/>
  <c r="F22" i="5" l="1"/>
  <c r="C22" i="5"/>
  <c r="F21" i="5"/>
  <c r="C21" i="5"/>
  <c r="F20" i="5"/>
  <c r="C20" i="5"/>
  <c r="F19" i="5"/>
  <c r="C19" i="5"/>
  <c r="F18" i="5"/>
  <c r="C18" i="5"/>
  <c r="F17" i="5"/>
  <c r="C17" i="5"/>
  <c r="G16" i="5"/>
  <c r="K16" i="5" s="1"/>
  <c r="G17" i="5" s="1"/>
  <c r="F16" i="5"/>
  <c r="B16" i="5"/>
  <c r="H17" i="5" s="1"/>
  <c r="C16" i="5"/>
  <c r="L16" i="5" l="1"/>
  <c r="O17" i="5"/>
  <c r="O22" i="5"/>
  <c r="O18" i="5"/>
  <c r="O19" i="5"/>
  <c r="O20" i="5"/>
  <c r="O21" i="5"/>
  <c r="I17" i="5"/>
  <c r="F23" i="3"/>
  <c r="F22" i="3"/>
  <c r="F20" i="3"/>
  <c r="D19" i="3"/>
  <c r="F19" i="3" s="1"/>
  <c r="F24" i="3"/>
  <c r="C24" i="3"/>
  <c r="D16" i="3"/>
  <c r="B16" i="3" s="1"/>
  <c r="J17" i="3"/>
  <c r="G16" i="3"/>
  <c r="L16" i="3" s="1"/>
  <c r="C23" i="3"/>
  <c r="C22" i="3"/>
  <c r="F21" i="3"/>
  <c r="C21" i="3"/>
  <c r="C20" i="3"/>
  <c r="C19" i="3"/>
  <c r="C17" i="3"/>
  <c r="F18" i="3"/>
  <c r="C18" i="3"/>
  <c r="F16" i="3"/>
  <c r="C16" i="3"/>
  <c r="K17" i="5" l="1"/>
  <c r="G18" i="5" s="1"/>
  <c r="L17" i="5"/>
  <c r="O20" i="3"/>
  <c r="O24" i="3"/>
  <c r="O19" i="3"/>
  <c r="O22" i="3"/>
  <c r="O18" i="3"/>
  <c r="O21" i="3"/>
  <c r="O23" i="3"/>
  <c r="K16" i="3"/>
  <c r="I18" i="5" l="1"/>
  <c r="G17" i="3"/>
  <c r="K18" i="5" l="1"/>
  <c r="G19" i="5" s="1"/>
  <c r="L18" i="5"/>
  <c r="K17" i="3"/>
  <c r="G18" i="3" s="1"/>
  <c r="I19" i="5" l="1"/>
  <c r="K18" i="3"/>
  <c r="G19" i="3" s="1"/>
  <c r="I19" i="3" s="1"/>
  <c r="K19" i="5" l="1"/>
  <c r="G20" i="5" s="1"/>
  <c r="K19" i="3"/>
  <c r="G20" i="3" s="1"/>
  <c r="I20" i="3" s="1"/>
  <c r="I20" i="5" l="1"/>
  <c r="L19" i="5"/>
  <c r="L19" i="3"/>
  <c r="K20" i="3"/>
  <c r="G21" i="3" s="1"/>
  <c r="I21" i="3" s="1"/>
  <c r="L20" i="3"/>
  <c r="K20" i="5" l="1"/>
  <c r="G21" i="5" s="1"/>
  <c r="K21" i="3"/>
  <c r="G22" i="3" s="1"/>
  <c r="I22" i="3" s="1"/>
  <c r="L21" i="3"/>
  <c r="I21" i="5" l="1"/>
  <c r="L20" i="5"/>
  <c r="K22" i="3"/>
  <c r="G23" i="3" s="1"/>
  <c r="I23" i="3" s="1"/>
  <c r="K23" i="3" l="1"/>
  <c r="G24" i="3" s="1"/>
  <c r="I24" i="3" s="1"/>
  <c r="L23" i="3"/>
  <c r="K21" i="5"/>
  <c r="G22" i="5" s="1"/>
  <c r="L21" i="5"/>
  <c r="L22" i="3"/>
  <c r="I22" i="5" l="1"/>
  <c r="L24" i="3"/>
  <c r="K24" i="3"/>
  <c r="K22" i="5" l="1"/>
  <c r="G23" i="5" s="1"/>
  <c r="L22" i="5"/>
  <c r="I23" i="5" l="1"/>
  <c r="L23" i="5" s="1"/>
  <c r="K23" i="5"/>
  <c r="G24" i="5" s="1"/>
  <c r="I24" i="5" l="1"/>
  <c r="L24" i="5" s="1"/>
  <c r="K24" i="5"/>
  <c r="G25" i="5" s="1"/>
  <c r="I25" i="5" l="1"/>
  <c r="L25" i="5" s="1"/>
  <c r="K25" i="5"/>
  <c r="G26" i="5" s="1"/>
  <c r="I26" i="5" l="1"/>
  <c r="L26" i="5" s="1"/>
  <c r="K26" i="5"/>
  <c r="G27" i="5" s="1"/>
  <c r="I27" i="5" l="1"/>
  <c r="L27" i="5" s="1"/>
  <c r="K27" i="5"/>
  <c r="G28" i="5" s="1"/>
  <c r="I28" i="5" l="1"/>
  <c r="K28" i="5"/>
  <c r="I18" i="3"/>
  <c r="L18" i="3" s="1"/>
  <c r="I17" i="3"/>
  <c r="D17" i="3"/>
  <c r="F17" i="3" s="1"/>
  <c r="O17" i="3" s="1"/>
  <c r="I29" i="3" l="1"/>
  <c r="L28" i="5"/>
  <c r="L29" i="5" s="1"/>
  <c r="I29" i="5"/>
  <c r="L10" i="5"/>
  <c r="L11" i="5" s="1"/>
  <c r="L17" i="3"/>
  <c r="L10" i="3" l="1"/>
  <c r="L11" i="3" s="1"/>
  <c r="L29" i="3"/>
  <c r="N20" i="5"/>
  <c r="N22" i="5"/>
  <c r="N17" i="5"/>
  <c r="N18" i="5"/>
  <c r="N23" i="5"/>
  <c r="N24" i="5"/>
  <c r="N19" i="5"/>
  <c r="N21" i="5"/>
  <c r="N25" i="5"/>
  <c r="N26" i="5"/>
  <c r="N27" i="5"/>
  <c r="N28" i="5"/>
  <c r="N29" i="5" l="1"/>
  <c r="P22" i="5" s="1"/>
  <c r="N20" i="3"/>
  <c r="N23" i="3"/>
  <c r="N22" i="3"/>
  <c r="N24" i="3"/>
  <c r="N21" i="3"/>
  <c r="N19" i="3"/>
  <c r="N18" i="3"/>
  <c r="N17" i="3"/>
  <c r="P20" i="5" l="1"/>
  <c r="P18" i="5"/>
  <c r="P23" i="5"/>
  <c r="P28" i="5"/>
  <c r="P19" i="5"/>
  <c r="P21" i="5"/>
  <c r="P27" i="5"/>
  <c r="P17" i="5"/>
  <c r="P25" i="5"/>
  <c r="P26" i="5"/>
  <c r="P24" i="5"/>
  <c r="N29" i="3"/>
  <c r="P17" i="3" s="1"/>
  <c r="L12" i="5" l="1"/>
  <c r="L13" i="5"/>
  <c r="P22" i="3"/>
  <c r="P20" i="3"/>
  <c r="P23" i="3"/>
  <c r="P24" i="3"/>
  <c r="P21" i="3"/>
  <c r="P18" i="3"/>
  <c r="P19" i="3"/>
  <c r="L13" i="3" l="1"/>
  <c r="L12" i="3"/>
</calcChain>
</file>

<file path=xl/sharedStrings.xml><?xml version="1.0" encoding="utf-8"?>
<sst xmlns="http://schemas.openxmlformats.org/spreadsheetml/2006/main" count="46" uniqueCount="26">
  <si>
    <t>VN (USD)</t>
  </si>
  <si>
    <t>TIR</t>
  </si>
  <si>
    <t>Fecha de Emisión y Liquidación</t>
  </si>
  <si>
    <t>TNA (90 d)</t>
  </si>
  <si>
    <t>Tasa Fija a Licitar</t>
  </si>
  <si>
    <t>Duration (meses)</t>
  </si>
  <si>
    <t>Precio</t>
  </si>
  <si>
    <t>Tasa de cupon</t>
  </si>
  <si>
    <t>Fecha de Pago</t>
  </si>
  <si>
    <t>Capital (USD)</t>
  </si>
  <si>
    <t>Días Intereses</t>
  </si>
  <si>
    <t>Intereses (USD)</t>
  </si>
  <si>
    <t>Amortización (USD)</t>
  </si>
  <si>
    <t>Capital Residual (USD)</t>
  </si>
  <si>
    <t>Flujo (USD)</t>
  </si>
  <si>
    <t>VA Flujo</t>
  </si>
  <si>
    <t>Días Flujo</t>
  </si>
  <si>
    <t>Duration</t>
  </si>
  <si>
    <t>Totales</t>
  </si>
  <si>
    <t>Duration (años)</t>
  </si>
  <si>
    <t xml:space="preserve">Esta planilla de cálculo es meramente orientativa y los resultados que esta arroje no serán vinculantes. El Interesado deberá, a los efectos de la suscripción de las Obligaciones Negociables, basarse en sus propios cálculos y evaluación de los Términos y Condiciones de las Obligaciones Negociables descriptos en el Suplemento de Prospecto que ha tenido a su disposición.
</t>
  </si>
  <si>
    <t>Dólar Linked - 36 meses</t>
  </si>
  <si>
    <t>Dólar Linked - 24 meses</t>
  </si>
  <si>
    <t>Tasa Fija</t>
  </si>
  <si>
    <t>ON Petrolera Aconcagua Energía S.A. Clase XIII</t>
  </si>
  <si>
    <t>ON Petrolera Aconcagua Energía S.A. Clase XII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</si>
</sst>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[$-C0A]d\-mmm\-yy;@"/>
    <numFmt numFmtId="165" formatCode="_ * #,##0.00_ ;_ * \-#,##0.00_ ;_ * &quot;-&quot;??_ ;_ @_ "/>
    <numFmt numFmtId="166" formatCode="_ * #,##0_ ;_ * \-#,##0_ ;_ * &quot;-&quot;??_ ;_ @_ "/>
    <numFmt numFmtId="167" formatCode="[$-2C0A]dddd\,\ dd&quot; de &quot;mmmm&quot; de &quot;yyyy;@"/>
    <numFmt numFmtId="168" formatCode="_ &quot;$&quot;\ * #,##0.0_ ;_ &quot;$&quot;\ * \-#,##0.0_ ;_ &quot;$&quot;\ * &quot;-&quot;_ ;_ @_ "/>
    <numFmt numFmtId="169" formatCode="_ &quot;$&quot;\ * #,##0.00_ ;_ &quot;$&quot;\ * \-#,##0.00_ ;_ &quot;$&quot;\ * &quot;-&quot;??_ ;_ @_ "/>
    <numFmt numFmtId="170" formatCode="_ &quot;$&quot;\ * #,##0_ ;_ &quot;$&quot;\ * \-#,##0_ ;_ &quot;$&quot;\ * &quot;-&quot;??_ ;_ @_ "/>
    <numFmt numFmtId="171" formatCode="_ * #,##0.0_ ;_ * \-#,##0.0_ ;_ * &quot;-&quot;?_ ;_ @_ "/>
    <numFmt numFmtId="172" formatCode="_ &quot;$&quot;\ * #,##0_ ;_ &quot;$&quot;\ * \-#,##0_ ;_ &quot;$&quot;\ * &quot;-&quot;_ ;_ @_ "/>
  </numFmts>
  <fonts count="14"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b/>
      <sz val="11"/>
      <name val="Stag Sans Bold"/>
      <family val="2"/>
    </font>
    <font>
      <sz val="11"/>
      <name val="Stag Sans Medium"/>
      <family val="2"/>
    </font>
    <font>
      <b/>
      <sz val="11"/>
      <name val="Stag Sans Medium"/>
    </font>
    <font>
      <sz val="11"/>
      <color indexed="8"/>
      <name val="verdana"/>
      <family val="2"/>
    </font>
    <font>
      <b/>
      <i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664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hair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65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2" fillId="0" borderId="0"/>
  </cellStyleXfs>
  <cellXfs count="60">
    <xf numFmtId="0" fontId="0" fillId="0" borderId="0" xfId="0"/>
    <xf numFmtId="0" fontId="3" fillId="0" borderId="0" xfId="0" applyFont="1" applyProtection="1">
      <protection hidden="1"/>
    </xf>
    <xf numFmtId="0" fontId="4" fillId="0" borderId="0" xfId="0" applyFont="1" applyProtection="1">
      <protection hidden="1"/>
    </xf>
    <xf numFmtId="164" fontId="4" fillId="0" borderId="0" xfId="0" applyNumberFormat="1" applyFont="1" applyProtection="1">
      <protection hidden="1"/>
    </xf>
    <xf numFmtId="0" fontId="3" fillId="2" borderId="0" xfId="0" applyFont="1" applyFill="1" applyProtection="1">
      <protection hidden="1"/>
    </xf>
    <xf numFmtId="0" fontId="3" fillId="0" borderId="0" xfId="0" applyFont="1"/>
    <xf numFmtId="0" fontId="5" fillId="0" borderId="0" xfId="0" applyFont="1" applyProtection="1">
      <protection hidden="1"/>
    </xf>
    <xf numFmtId="164" fontId="6" fillId="3" borderId="1" xfId="0" applyNumberFormat="1" applyFont="1" applyFill="1" applyBorder="1" applyAlignment="1" applyProtection="1">
      <alignment horizontal="left"/>
      <protection hidden="1"/>
    </xf>
    <xf numFmtId="166" fontId="7" fillId="4" borderId="1" xfId="1" applyNumberFormat="1" applyFont="1" applyFill="1" applyBorder="1" applyProtection="1">
      <protection locked="0" hidden="1"/>
    </xf>
    <xf numFmtId="10" fontId="7" fillId="5" borderId="1" xfId="3" applyNumberFormat="1" applyFont="1" applyFill="1" applyBorder="1" applyProtection="1">
      <protection hidden="1"/>
    </xf>
    <xf numFmtId="10" fontId="8" fillId="2" borderId="0" xfId="3" applyNumberFormat="1" applyFont="1" applyFill="1" applyBorder="1" applyProtection="1">
      <protection hidden="1"/>
    </xf>
    <xf numFmtId="14" fontId="7" fillId="5" borderId="1" xfId="4" applyNumberFormat="1" applyFont="1" applyFill="1" applyBorder="1" applyProtection="1">
      <protection hidden="1"/>
    </xf>
    <xf numFmtId="165" fontId="8" fillId="2" borderId="0" xfId="1" applyFont="1" applyFill="1" applyBorder="1" applyProtection="1">
      <protection hidden="1"/>
    </xf>
    <xf numFmtId="165" fontId="7" fillId="5" borderId="1" xfId="1" applyFont="1" applyFill="1" applyBorder="1" applyProtection="1">
      <protection hidden="1"/>
    </xf>
    <xf numFmtId="9" fontId="7" fillId="5" borderId="1" xfId="3" applyFont="1" applyFill="1" applyBorder="1" applyProtection="1">
      <protection hidden="1"/>
    </xf>
    <xf numFmtId="0" fontId="9" fillId="2" borderId="0" xfId="0" applyFont="1" applyFill="1" applyAlignment="1" applyProtection="1">
      <alignment horizontal="center"/>
      <protection hidden="1"/>
    </xf>
    <xf numFmtId="0" fontId="10" fillId="0" borderId="0" xfId="0" applyFont="1"/>
    <xf numFmtId="0" fontId="10" fillId="2" borderId="0" xfId="0" applyFont="1" applyFill="1" applyProtection="1"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164" fontId="11" fillId="0" borderId="4" xfId="0" applyNumberFormat="1" applyFont="1" applyBorder="1" applyAlignment="1" applyProtection="1">
      <alignment horizontal="center" vertical="center" wrapText="1"/>
      <protection hidden="1"/>
    </xf>
    <xf numFmtId="164" fontId="5" fillId="0" borderId="0" xfId="0" applyNumberFormat="1" applyFont="1" applyAlignment="1" applyProtection="1">
      <alignment horizontal="center" vertical="center" wrapText="1"/>
      <protection hidden="1"/>
    </xf>
    <xf numFmtId="0" fontId="1" fillId="6" borderId="5" xfId="5" applyFont="1" applyFill="1" applyBorder="1" applyAlignment="1" applyProtection="1">
      <alignment horizontal="center" vertical="center" wrapText="1"/>
      <protection hidden="1"/>
    </xf>
    <xf numFmtId="0" fontId="1" fillId="6" borderId="6" xfId="5" applyFont="1" applyFill="1" applyBorder="1" applyAlignment="1" applyProtection="1">
      <alignment horizontal="center" vertical="center" wrapText="1"/>
      <protection hidden="1"/>
    </xf>
    <xf numFmtId="0" fontId="11" fillId="2" borderId="0" xfId="0" applyFont="1" applyFill="1" applyAlignment="1" applyProtection="1">
      <alignment horizontal="center" vertical="center" wrapText="1"/>
      <protection hidden="1"/>
    </xf>
    <xf numFmtId="0" fontId="11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7" fontId="10" fillId="0" borderId="0" xfId="0" applyNumberFormat="1" applyFont="1" applyProtection="1">
      <protection hidden="1"/>
    </xf>
    <xf numFmtId="10" fontId="3" fillId="0" borderId="0" xfId="0" applyNumberFormat="1" applyFont="1" applyProtection="1">
      <protection hidden="1"/>
    </xf>
    <xf numFmtId="167" fontId="4" fillId="5" borderId="7" xfId="0" applyNumberFormat="1" applyFont="1" applyFill="1" applyBorder="1" applyProtection="1">
      <protection hidden="1"/>
    </xf>
    <xf numFmtId="168" fontId="4" fillId="5" borderId="0" xfId="0" applyNumberFormat="1" applyFont="1" applyFill="1" applyProtection="1">
      <protection hidden="1"/>
    </xf>
    <xf numFmtId="168" fontId="4" fillId="5" borderId="8" xfId="0" applyNumberFormat="1" applyFont="1" applyFill="1" applyBorder="1" applyAlignment="1" applyProtection="1">
      <alignment horizontal="right" indent="1"/>
      <protection hidden="1"/>
    </xf>
    <xf numFmtId="168" fontId="4" fillId="5" borderId="9" xfId="0" applyNumberFormat="1" applyFont="1" applyFill="1" applyBorder="1" applyProtection="1">
      <protection hidden="1"/>
    </xf>
    <xf numFmtId="170" fontId="10" fillId="2" borderId="0" xfId="2" applyNumberFormat="1" applyFont="1" applyFill="1" applyBorder="1" applyAlignment="1" applyProtection="1">
      <alignment horizontal="right" indent="1"/>
      <protection hidden="1"/>
    </xf>
    <xf numFmtId="2" fontId="10" fillId="0" borderId="0" xfId="0" applyNumberFormat="1" applyFont="1" applyAlignment="1">
      <alignment horizontal="right" indent="1"/>
    </xf>
    <xf numFmtId="167" fontId="10" fillId="2" borderId="0" xfId="0" applyNumberFormat="1" applyFont="1" applyFill="1" applyProtection="1">
      <protection hidden="1"/>
    </xf>
    <xf numFmtId="167" fontId="4" fillId="5" borderId="10" xfId="0" applyNumberFormat="1" applyFont="1" applyFill="1" applyBorder="1" applyProtection="1">
      <protection hidden="1"/>
    </xf>
    <xf numFmtId="166" fontId="4" fillId="5" borderId="0" xfId="1" applyNumberFormat="1" applyFont="1" applyFill="1" applyBorder="1" applyAlignment="1" applyProtection="1">
      <alignment horizontal="right" indent="1"/>
      <protection hidden="1"/>
    </xf>
    <xf numFmtId="166" fontId="10" fillId="0" borderId="0" xfId="1" applyNumberFormat="1" applyFont="1" applyAlignment="1" applyProtection="1"/>
    <xf numFmtId="1" fontId="10" fillId="0" borderId="0" xfId="0" applyNumberFormat="1" applyFont="1" applyAlignment="1">
      <alignment horizontal="right" indent="1"/>
    </xf>
    <xf numFmtId="171" fontId="3" fillId="0" borderId="0" xfId="0" applyNumberFormat="1" applyFont="1"/>
    <xf numFmtId="167" fontId="3" fillId="0" borderId="0" xfId="0" applyNumberFormat="1" applyFont="1" applyProtection="1">
      <protection hidden="1"/>
    </xf>
    <xf numFmtId="168" fontId="1" fillId="6" borderId="5" xfId="5" applyNumberFormat="1" applyFont="1" applyFill="1" applyBorder="1" applyAlignment="1" applyProtection="1">
      <alignment horizontal="center" vertical="center" wrapText="1"/>
      <protection hidden="1"/>
    </xf>
    <xf numFmtId="168" fontId="1" fillId="6" borderId="6" xfId="5" applyNumberFormat="1" applyFont="1" applyFill="1" applyBorder="1" applyAlignment="1" applyProtection="1">
      <alignment horizontal="center" vertical="center" wrapText="1"/>
      <protection hidden="1"/>
    </xf>
    <xf numFmtId="166" fontId="3" fillId="0" borderId="13" xfId="0" applyNumberFormat="1" applyFont="1" applyBorder="1"/>
    <xf numFmtId="0" fontId="4" fillId="0" borderId="0" xfId="0" applyFont="1"/>
    <xf numFmtId="164" fontId="4" fillId="0" borderId="0" xfId="0" applyNumberFormat="1" applyFont="1"/>
    <xf numFmtId="0" fontId="3" fillId="2" borderId="0" xfId="0" applyFont="1" applyFill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2" borderId="0" xfId="0" applyFont="1" applyFill="1" applyAlignment="1">
      <alignment horizontal="left"/>
    </xf>
    <xf numFmtId="10" fontId="7" fillId="4" borderId="3" xfId="3" applyNumberFormat="1" applyFont="1" applyFill="1" applyBorder="1" applyAlignment="1" applyProtection="1">
      <alignment vertical="center" wrapText="1"/>
      <protection locked="0" hidden="1"/>
    </xf>
    <xf numFmtId="0" fontId="1" fillId="3" borderId="2" xfId="0" applyFont="1" applyFill="1" applyBorder="1" applyProtection="1">
      <protection hidden="1"/>
    </xf>
    <xf numFmtId="172" fontId="4" fillId="5" borderId="0" xfId="0" applyNumberFormat="1" applyFont="1" applyFill="1" applyProtection="1">
      <protection hidden="1"/>
    </xf>
    <xf numFmtId="172" fontId="1" fillId="6" borderId="5" xfId="5" applyNumberFormat="1" applyFont="1" applyFill="1" applyBorder="1" applyAlignment="1" applyProtection="1">
      <alignment horizontal="center" vertical="center" wrapText="1"/>
      <protection hidden="1"/>
    </xf>
    <xf numFmtId="165" fontId="4" fillId="0" borderId="0" xfId="1" applyFont="1" applyProtection="1">
      <protection hidden="1"/>
    </xf>
    <xf numFmtId="0" fontId="13" fillId="5" borderId="0" xfId="0" applyFont="1" applyFill="1" applyAlignment="1" applyProtection="1">
      <alignment horizontal="center" vertical="top" wrapText="1"/>
      <protection hidden="1"/>
    </xf>
    <xf numFmtId="0" fontId="1" fillId="3" borderId="2" xfId="0" applyFont="1" applyFill="1" applyBorder="1" applyAlignment="1" applyProtection="1">
      <alignment horizontal="right" indent="1"/>
      <protection hidden="1"/>
    </xf>
    <xf numFmtId="0" fontId="1" fillId="6" borderId="5" xfId="5" applyFont="1" applyFill="1" applyBorder="1" applyAlignment="1" applyProtection="1">
      <alignment horizontal="center" vertical="center" wrapText="1"/>
      <protection hidden="1"/>
    </xf>
    <xf numFmtId="0" fontId="1" fillId="6" borderId="11" xfId="5" applyFont="1" applyFill="1" applyBorder="1" applyAlignment="1" applyProtection="1">
      <alignment horizontal="center" vertical="center" wrapText="1"/>
      <protection hidden="1"/>
    </xf>
    <xf numFmtId="0" fontId="1" fillId="6" borderId="12" xfId="5" applyFont="1" applyFill="1" applyBorder="1" applyAlignment="1" applyProtection="1">
      <alignment horizontal="center" vertical="center" wrapText="1"/>
      <protection hidden="1"/>
    </xf>
  </cellXfs>
  <cellStyles count="6">
    <cellStyle name="Millares" xfId="1" builtinId="3"/>
    <cellStyle name="Moneda" xfId="2" builtinId="4"/>
    <cellStyle name="Normal" xfId="0" builtinId="0"/>
    <cellStyle name="Normal 2" xfId="4" xr:uid="{EBC8AC57-EE1D-40F8-A643-B7F21F4937FD}"/>
    <cellStyle name="Normal_Calculadora Garbarino 45_v1" xfId="5" xr:uid="{5AE9708E-5E6C-442A-86E7-23EBBB0BEEDC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1363737</xdr:colOff>
      <xdr:row>2</xdr:row>
      <xdr:rowOff>96763</xdr:rowOff>
    </xdr:from>
    <xdr:to>
      <xdr:col>11</xdr:col>
      <xdr:colOff>1123849</xdr:colOff>
      <xdr:row>4</xdr:row>
      <xdr:rowOff>171410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D5E8658-6741-4235-9F68-B513516B40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99951" y="459620"/>
          <a:ext cx="1211541" cy="437504"/>
        </a:xfrm>
        <a:prstGeom prst="rect">
          <a:avLst/>
        </a:prstGeom>
      </xdr:spPr>
    </xdr:pic>
    <xdr:clientData/>
  </xdr:twoCellAnchor>
  <xdr:twoCellAnchor editAs="oneCell">
    <xdr:from>
      <xdr:col>4</xdr:col>
      <xdr:colOff>903941</xdr:colOff>
      <xdr:row>1</xdr:row>
      <xdr:rowOff>52293</xdr:rowOff>
    </xdr:from>
    <xdr:to>
      <xdr:col>6</xdr:col>
      <xdr:colOff>74384</xdr:colOff>
      <xdr:row>5</xdr:row>
      <xdr:rowOff>82668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ED7A02E-626F-F1C8-2120-A37AB66B9E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46412" y="239058"/>
          <a:ext cx="2487384" cy="7742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1363737</xdr:colOff>
      <xdr:row>2</xdr:row>
      <xdr:rowOff>96763</xdr:rowOff>
    </xdr:from>
    <xdr:to>
      <xdr:col>11</xdr:col>
      <xdr:colOff>1123849</xdr:colOff>
      <xdr:row>4</xdr:row>
      <xdr:rowOff>171410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7F2C331-BA55-4046-83F7-48236C242D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98137" y="465063"/>
          <a:ext cx="1214262" cy="442947"/>
        </a:xfrm>
        <a:prstGeom prst="rect">
          <a:avLst/>
        </a:prstGeom>
      </xdr:spPr>
    </xdr:pic>
    <xdr:clientData/>
  </xdr:twoCellAnchor>
  <xdr:twoCellAnchor editAs="oneCell">
    <xdr:from>
      <xdr:col>4</xdr:col>
      <xdr:colOff>903942</xdr:colOff>
      <xdr:row>1</xdr:row>
      <xdr:rowOff>74706</xdr:rowOff>
    </xdr:from>
    <xdr:to>
      <xdr:col>6</xdr:col>
      <xdr:colOff>74385</xdr:colOff>
      <xdr:row>5</xdr:row>
      <xdr:rowOff>105081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FA24804-6B2C-493B-2CD4-B45B1E866E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46413" y="261471"/>
          <a:ext cx="2487384" cy="7742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7E4EE-B1EB-430E-B6ED-68620964E623}">
  <sheetPr>
    <pageSetUpPr fitToPage="1"/>
  </sheetPr>
  <dimension ref="A1:P86"/>
  <sheetViews>
    <sheetView showGridLines="0" tabSelected="1" zoomScale="115" zoomScaleNormal="115" workbookViewId="0">
      <selection activeCell="G10" sqref="G10"/>
    </sheetView>
  </sheetViews>
  <sheetFormatPr baseColWidth="10" defaultColWidth="9.140625" defaultRowHeight="0" customHeight="1" zeroHeight="1" outlineLevelRow="2"/>
  <cols>
    <col min="1" max="1" width="6.140625" style="5" customWidth="1"/>
    <col min="2" max="2" width="36" style="5" hidden="1" customWidth="1"/>
    <col min="3" max="3" width="15.85546875" style="5" hidden="1" customWidth="1"/>
    <col min="4" max="4" width="36" style="5" hidden="1" customWidth="1"/>
    <col min="5" max="5" width="5.85546875" style="44" customWidth="1"/>
    <col min="6" max="6" width="34.85546875" style="45" customWidth="1"/>
    <col min="7" max="7" width="16.7109375" style="44" bestFit="1" customWidth="1"/>
    <col min="8" max="8" width="13.42578125" style="44" bestFit="1" customWidth="1"/>
    <col min="9" max="9" width="14.85546875" style="44" bestFit="1" customWidth="1"/>
    <col min="10" max="10" width="18.42578125" style="44" bestFit="1" customWidth="1"/>
    <col min="11" max="11" width="20.85546875" style="44" bestFit="1" customWidth="1"/>
    <col min="12" max="12" width="16.85546875" style="44" customWidth="1"/>
    <col min="13" max="13" width="10.42578125" style="46" customWidth="1"/>
    <col min="14" max="16" width="10.42578125" style="5" hidden="1" customWidth="1"/>
    <col min="17" max="17" width="10.42578125" style="5" customWidth="1"/>
    <col min="18" max="16384" width="9.140625" style="5"/>
  </cols>
  <sheetData>
    <row r="1" spans="1:16" ht="15"/>
    <row r="2" spans="1:16" ht="15"/>
    <row r="3" spans="1:16" ht="15">
      <c r="A3" s="1"/>
      <c r="B3" s="1"/>
      <c r="C3" s="1"/>
      <c r="D3" s="1"/>
      <c r="E3" s="2"/>
      <c r="F3" s="3"/>
      <c r="G3" s="2"/>
      <c r="H3" s="2"/>
      <c r="I3" s="2"/>
      <c r="J3" s="2"/>
      <c r="K3" s="2"/>
      <c r="L3" s="2"/>
      <c r="M3" s="4"/>
    </row>
    <row r="4" spans="1:16" ht="15">
      <c r="A4" s="1"/>
      <c r="B4" s="1"/>
      <c r="C4" s="1"/>
      <c r="D4" s="1"/>
      <c r="E4" s="2"/>
      <c r="F4" s="3"/>
      <c r="G4" s="2"/>
      <c r="H4" s="2"/>
      <c r="I4" s="2"/>
      <c r="J4" s="2"/>
      <c r="K4" s="2"/>
      <c r="L4" s="2"/>
      <c r="M4" s="4"/>
    </row>
    <row r="5" spans="1:16" ht="15">
      <c r="A5" s="1"/>
      <c r="B5" s="1"/>
      <c r="C5" s="1"/>
      <c r="D5" s="1"/>
      <c r="E5" s="2"/>
      <c r="F5" s="3"/>
      <c r="G5" s="2"/>
      <c r="H5" s="2"/>
      <c r="I5" s="2"/>
      <c r="J5" s="2"/>
      <c r="K5" s="2"/>
      <c r="L5" s="2"/>
      <c r="M5" s="4"/>
    </row>
    <row r="6" spans="1:16" ht="15">
      <c r="A6" s="1"/>
      <c r="B6" s="1"/>
      <c r="C6" s="1"/>
      <c r="D6" s="1"/>
      <c r="E6" s="2"/>
      <c r="F6" s="3"/>
      <c r="G6" s="2"/>
      <c r="H6" s="2"/>
      <c r="I6" s="2"/>
      <c r="J6" s="2"/>
      <c r="K6" s="2"/>
      <c r="L6" s="2"/>
      <c r="M6" s="4"/>
    </row>
    <row r="7" spans="1:16" ht="15">
      <c r="A7" s="1"/>
      <c r="B7" s="1"/>
      <c r="C7" s="1"/>
      <c r="D7" s="1"/>
      <c r="E7" s="2"/>
      <c r="F7" s="6" t="s">
        <v>25</v>
      </c>
      <c r="G7" s="6"/>
      <c r="H7" s="6"/>
      <c r="I7" s="6"/>
      <c r="J7" s="2"/>
      <c r="K7" s="2"/>
      <c r="L7" s="2"/>
      <c r="M7" s="4"/>
    </row>
    <row r="8" spans="1:16" ht="15">
      <c r="A8" s="1"/>
      <c r="B8" s="1"/>
      <c r="C8" s="1"/>
      <c r="D8" s="1"/>
      <c r="E8" s="2"/>
      <c r="F8" s="6" t="s">
        <v>22</v>
      </c>
      <c r="G8" s="2"/>
      <c r="H8" s="2"/>
      <c r="I8" s="2"/>
      <c r="J8" s="2"/>
      <c r="K8" s="2"/>
      <c r="L8" s="2"/>
      <c r="M8" s="4"/>
    </row>
    <row r="9" spans="1:16" ht="10.5" customHeight="1">
      <c r="A9" s="1"/>
      <c r="B9" s="1"/>
      <c r="C9" s="1"/>
      <c r="D9" s="1"/>
      <c r="E9" s="2"/>
      <c r="F9" s="3"/>
      <c r="G9" s="2"/>
      <c r="H9" s="2"/>
      <c r="I9" s="2"/>
      <c r="J9" s="2"/>
      <c r="K9" s="2"/>
      <c r="L9" s="2"/>
      <c r="M9" s="4"/>
    </row>
    <row r="10" spans="1:16" ht="15">
      <c r="A10" s="1"/>
      <c r="B10" s="1"/>
      <c r="C10" s="1"/>
      <c r="D10" s="1"/>
      <c r="E10" s="2"/>
      <c r="F10" s="7" t="s">
        <v>0</v>
      </c>
      <c r="G10" s="8">
        <v>100000</v>
      </c>
      <c r="H10" s="2"/>
      <c r="I10" s="2"/>
      <c r="J10" s="56" t="s">
        <v>1</v>
      </c>
      <c r="K10" s="56"/>
      <c r="L10" s="9">
        <f>+XIRR(L16:L24,F16:F24)</f>
        <v>4.0624186396598816E-2</v>
      </c>
      <c r="M10" s="10"/>
    </row>
    <row r="11" spans="1:16" ht="15">
      <c r="A11" s="1"/>
      <c r="B11" s="1"/>
      <c r="C11" s="1"/>
      <c r="D11" s="1"/>
      <c r="E11" s="2"/>
      <c r="F11" s="7" t="s">
        <v>2</v>
      </c>
      <c r="G11" s="11">
        <v>45491</v>
      </c>
      <c r="H11" s="2"/>
      <c r="I11" s="2"/>
      <c r="J11" s="56" t="s">
        <v>3</v>
      </c>
      <c r="K11" s="56"/>
      <c r="L11" s="9">
        <f>+(((1+L10)^(1/4)-1)*4)</f>
        <v>4.0019582869375014E-2</v>
      </c>
      <c r="M11" s="12"/>
    </row>
    <row r="12" spans="1:16" ht="15">
      <c r="A12" s="1"/>
      <c r="B12" s="1"/>
      <c r="C12" s="1"/>
      <c r="D12" s="1"/>
      <c r="E12" s="2"/>
      <c r="F12" s="51" t="s">
        <v>23</v>
      </c>
      <c r="G12" s="9">
        <v>0.02</v>
      </c>
      <c r="H12" s="2"/>
      <c r="I12" s="2"/>
      <c r="J12" s="56" t="s">
        <v>5</v>
      </c>
      <c r="K12" s="56"/>
      <c r="L12" s="13">
        <f>+SUM(P17:P24)/(365/12)</f>
        <v>23.640661275411034</v>
      </c>
      <c r="M12" s="12"/>
    </row>
    <row r="13" spans="1:16" ht="15">
      <c r="A13" s="1"/>
      <c r="B13" s="1"/>
      <c r="C13" s="1"/>
      <c r="D13" s="1"/>
      <c r="E13" s="2"/>
      <c r="F13" s="51" t="s">
        <v>6</v>
      </c>
      <c r="G13" s="50">
        <v>0.96160000000000001</v>
      </c>
      <c r="I13" s="6"/>
      <c r="J13" s="56" t="s">
        <v>19</v>
      </c>
      <c r="K13" s="56"/>
      <c r="L13" s="13">
        <f>+SUM(P17:P24)/(365)</f>
        <v>1.9700551062842528</v>
      </c>
      <c r="M13" s="15"/>
      <c r="N13" s="16"/>
    </row>
    <row r="14" spans="1:16" ht="15.75" thickBot="1">
      <c r="A14" s="1"/>
      <c r="B14" s="1"/>
      <c r="C14" s="1"/>
      <c r="D14" s="1"/>
      <c r="E14" s="2"/>
      <c r="F14" s="3"/>
      <c r="G14" s="2"/>
      <c r="H14" s="2"/>
      <c r="I14" s="2"/>
      <c r="J14" s="2"/>
      <c r="K14" s="2"/>
      <c r="L14" s="2"/>
      <c r="M14" s="17"/>
      <c r="N14" s="16"/>
    </row>
    <row r="15" spans="1:16" s="25" customFormat="1" ht="28.5" customHeight="1" thickBot="1">
      <c r="A15" s="18"/>
      <c r="B15" s="19"/>
      <c r="C15" s="19" t="s">
        <v>7</v>
      </c>
      <c r="D15" s="19"/>
      <c r="E15" s="20"/>
      <c r="F15" s="21" t="s">
        <v>8</v>
      </c>
      <c r="G15" s="21" t="s">
        <v>9</v>
      </c>
      <c r="H15" s="21" t="s">
        <v>10</v>
      </c>
      <c r="I15" s="21" t="s">
        <v>11</v>
      </c>
      <c r="J15" s="21" t="s">
        <v>12</v>
      </c>
      <c r="K15" s="21" t="s">
        <v>13</v>
      </c>
      <c r="L15" s="22" t="s">
        <v>14</v>
      </c>
      <c r="M15" s="23"/>
      <c r="N15" s="24" t="s">
        <v>15</v>
      </c>
      <c r="O15" s="24" t="s">
        <v>16</v>
      </c>
      <c r="P15" s="24" t="s">
        <v>17</v>
      </c>
    </row>
    <row r="16" spans="1:16" ht="15">
      <c r="A16" s="1"/>
      <c r="B16" s="26">
        <f>+D16</f>
        <v>45491</v>
      </c>
      <c r="C16" s="27">
        <f>+$G$12</f>
        <v>0.02</v>
      </c>
      <c r="D16" s="26">
        <f>+G11</f>
        <v>45491</v>
      </c>
      <c r="F16" s="28">
        <f>+G11</f>
        <v>45491</v>
      </c>
      <c r="G16" s="52">
        <f>+G10</f>
        <v>100000</v>
      </c>
      <c r="H16" s="30"/>
      <c r="I16" s="29"/>
      <c r="J16" s="52"/>
      <c r="K16" s="52">
        <f t="shared" ref="K16:K18" si="0">+G16-J16</f>
        <v>100000</v>
      </c>
      <c r="L16" s="31">
        <f>-G16*G13</f>
        <v>-96160</v>
      </c>
      <c r="M16" s="32"/>
      <c r="N16" s="33"/>
      <c r="O16" s="33"/>
    </row>
    <row r="17" spans="1:16" ht="15">
      <c r="A17" s="1"/>
      <c r="B17" s="26">
        <v>45583</v>
      </c>
      <c r="C17" s="27">
        <f t="shared" ref="C17:C24" si="1">+$G$12</f>
        <v>0.02</v>
      </c>
      <c r="D17" s="34">
        <f t="shared" ref="D17" si="2">+B17</f>
        <v>45583</v>
      </c>
      <c r="E17" s="54"/>
      <c r="F17" s="35">
        <f t="shared" ref="F17:F24" si="3">+D17</f>
        <v>45583</v>
      </c>
      <c r="G17" s="52">
        <f>K16</f>
        <v>100000</v>
      </c>
      <c r="H17" s="36">
        <f>B17-B16</f>
        <v>92</v>
      </c>
      <c r="I17" s="29">
        <f>G17*$G$12*(H17/365)</f>
        <v>504.10958904109594</v>
      </c>
      <c r="J17" s="52">
        <f>+G9</f>
        <v>0</v>
      </c>
      <c r="K17" s="52">
        <f t="shared" ref="K17" si="4">+G17-J17</f>
        <v>100000</v>
      </c>
      <c r="L17" s="31">
        <f t="shared" ref="L17" si="5">+I17+J17</f>
        <v>504.10958904109594</v>
      </c>
      <c r="M17" s="32"/>
      <c r="N17" s="37">
        <f t="shared" ref="N17:N24" si="6">+L17/(1+$L$10)^((O17)/365)</f>
        <v>499.07514796680988</v>
      </c>
      <c r="O17" s="38">
        <f t="shared" ref="O17:O24" si="7">+F17-$F$16</f>
        <v>92</v>
      </c>
      <c r="P17" s="39">
        <f t="shared" ref="P17:P24" si="8">+(N17/$N$29)*O17</f>
        <v>0.47748454023310938</v>
      </c>
    </row>
    <row r="18" spans="1:16" ht="15">
      <c r="A18" s="1"/>
      <c r="B18" s="26">
        <v>45675</v>
      </c>
      <c r="C18" s="27">
        <f t="shared" si="1"/>
        <v>0.02</v>
      </c>
      <c r="D18" s="34">
        <f>+B18+2</f>
        <v>45677</v>
      </c>
      <c r="E18" s="54"/>
      <c r="F18" s="35">
        <f t="shared" si="3"/>
        <v>45677</v>
      </c>
      <c r="G18" s="52">
        <f t="shared" ref="G18:G24" si="9">K17</f>
        <v>100000</v>
      </c>
      <c r="H18" s="36">
        <f>B18-B17</f>
        <v>92</v>
      </c>
      <c r="I18" s="29">
        <f t="shared" ref="I18:I24" si="10">G18*$G$12*(H18/365)</f>
        <v>504.10958904109594</v>
      </c>
      <c r="J18" s="52">
        <v>0</v>
      </c>
      <c r="K18" s="52">
        <f t="shared" si="0"/>
        <v>100000</v>
      </c>
      <c r="L18" s="31">
        <f t="shared" ref="L18" si="11">+I18+J18</f>
        <v>504.10958904109594</v>
      </c>
      <c r="M18" s="32"/>
      <c r="N18" s="37">
        <f t="shared" si="6"/>
        <v>493.98318808334056</v>
      </c>
      <c r="O18" s="38">
        <f t="shared" si="7"/>
        <v>186</v>
      </c>
      <c r="P18" s="39">
        <f t="shared" si="8"/>
        <v>0.95549992236887216</v>
      </c>
    </row>
    <row r="19" spans="1:16" ht="15">
      <c r="A19" s="1"/>
      <c r="B19" s="26">
        <v>45765</v>
      </c>
      <c r="C19" s="27">
        <f t="shared" si="1"/>
        <v>0.02</v>
      </c>
      <c r="D19" s="34">
        <f>+B19</f>
        <v>45765</v>
      </c>
      <c r="E19" s="54"/>
      <c r="F19" s="35">
        <f t="shared" si="3"/>
        <v>45765</v>
      </c>
      <c r="G19" s="52">
        <f t="shared" si="9"/>
        <v>100000</v>
      </c>
      <c r="H19" s="36">
        <f>B19-B18</f>
        <v>90</v>
      </c>
      <c r="I19" s="29">
        <f t="shared" si="10"/>
        <v>493.15068493150682</v>
      </c>
      <c r="J19" s="52">
        <v>0</v>
      </c>
      <c r="K19" s="52">
        <f t="shared" ref="K19:K22" si="12">+G19-J19</f>
        <v>100000</v>
      </c>
      <c r="L19" s="31">
        <f t="shared" ref="L19:L23" si="13">+I19+J19</f>
        <v>493.15068493150682</v>
      </c>
      <c r="M19" s="32"/>
      <c r="N19" s="37">
        <f t="shared" si="6"/>
        <v>478.62718146904575</v>
      </c>
      <c r="O19" s="38">
        <f t="shared" si="7"/>
        <v>274</v>
      </c>
      <c r="P19" s="39">
        <f t="shared" si="8"/>
        <v>1.3638087258979643</v>
      </c>
    </row>
    <row r="20" spans="1:16" ht="15">
      <c r="A20" s="1"/>
      <c r="B20" s="26">
        <v>45856</v>
      </c>
      <c r="C20" s="27">
        <f t="shared" si="1"/>
        <v>0.02</v>
      </c>
      <c r="D20" s="34">
        <f>+B20</f>
        <v>45856</v>
      </c>
      <c r="E20" s="54"/>
      <c r="F20" s="35">
        <f t="shared" si="3"/>
        <v>45856</v>
      </c>
      <c r="G20" s="52">
        <f t="shared" si="9"/>
        <v>100000</v>
      </c>
      <c r="H20" s="36">
        <f>B20-B19</f>
        <v>91</v>
      </c>
      <c r="I20" s="29">
        <f t="shared" si="10"/>
        <v>498.63013698630135</v>
      </c>
      <c r="J20" s="52">
        <v>0</v>
      </c>
      <c r="K20" s="52">
        <f t="shared" si="12"/>
        <v>100000</v>
      </c>
      <c r="L20" s="31">
        <f t="shared" si="13"/>
        <v>498.63013698630135</v>
      </c>
      <c r="M20" s="32"/>
      <c r="N20" s="37">
        <f t="shared" si="6"/>
        <v>479.16447023293125</v>
      </c>
      <c r="O20" s="38">
        <f t="shared" si="7"/>
        <v>365</v>
      </c>
      <c r="P20" s="39">
        <f t="shared" si="8"/>
        <v>1.8187919174426062</v>
      </c>
    </row>
    <row r="21" spans="1:16" ht="15">
      <c r="A21" s="1"/>
      <c r="B21" s="26">
        <v>45948</v>
      </c>
      <c r="C21" s="27">
        <f t="shared" si="1"/>
        <v>0.02</v>
      </c>
      <c r="D21" s="34">
        <f>+B21+2</f>
        <v>45950</v>
      </c>
      <c r="E21" s="54"/>
      <c r="F21" s="35">
        <f t="shared" si="3"/>
        <v>45950</v>
      </c>
      <c r="G21" s="52">
        <f t="shared" si="9"/>
        <v>100000</v>
      </c>
      <c r="H21" s="36">
        <f t="shared" ref="H21:H23" si="14">B21-B20</f>
        <v>92</v>
      </c>
      <c r="I21" s="29">
        <f t="shared" si="10"/>
        <v>504.10958904109594</v>
      </c>
      <c r="J21" s="52">
        <v>0</v>
      </c>
      <c r="K21" s="52">
        <f t="shared" si="12"/>
        <v>100000</v>
      </c>
      <c r="L21" s="31">
        <f t="shared" si="13"/>
        <v>504.10958904109594</v>
      </c>
      <c r="M21" s="32"/>
      <c r="N21" s="37">
        <f t="shared" si="6"/>
        <v>479.4874752342007</v>
      </c>
      <c r="O21" s="38">
        <f t="shared" si="7"/>
        <v>459</v>
      </c>
      <c r="P21" s="39">
        <f t="shared" si="8"/>
        <v>2.2887349215699717</v>
      </c>
    </row>
    <row r="22" spans="1:16" ht="15">
      <c r="A22" s="1"/>
      <c r="B22" s="26">
        <v>46040</v>
      </c>
      <c r="C22" s="27">
        <f t="shared" si="1"/>
        <v>0.02</v>
      </c>
      <c r="D22" s="34">
        <f>+B22+1</f>
        <v>46041</v>
      </c>
      <c r="E22" s="54"/>
      <c r="F22" s="35">
        <f t="shared" si="3"/>
        <v>46041</v>
      </c>
      <c r="G22" s="52">
        <f t="shared" si="9"/>
        <v>100000</v>
      </c>
      <c r="H22" s="36">
        <f t="shared" si="14"/>
        <v>92</v>
      </c>
      <c r="I22" s="29">
        <f t="shared" si="10"/>
        <v>504.10958904109594</v>
      </c>
      <c r="J22" s="52">
        <v>0</v>
      </c>
      <c r="K22" s="52">
        <f t="shared" si="12"/>
        <v>100000</v>
      </c>
      <c r="L22" s="31">
        <f t="shared" si="13"/>
        <v>504.10958904109594</v>
      </c>
      <c r="M22" s="32"/>
      <c r="N22" s="37">
        <f t="shared" si="6"/>
        <v>474.75072171229016</v>
      </c>
      <c r="O22" s="38">
        <f t="shared" si="7"/>
        <v>550</v>
      </c>
      <c r="P22" s="39">
        <f t="shared" si="8"/>
        <v>2.7154003293173221</v>
      </c>
    </row>
    <row r="23" spans="1:16" ht="15">
      <c r="A23" s="1"/>
      <c r="B23" s="26">
        <v>46130</v>
      </c>
      <c r="C23" s="27">
        <f t="shared" si="1"/>
        <v>0.02</v>
      </c>
      <c r="D23" s="34">
        <f>+B23+2</f>
        <v>46132</v>
      </c>
      <c r="E23" s="54"/>
      <c r="F23" s="35">
        <f t="shared" si="3"/>
        <v>46132</v>
      </c>
      <c r="G23" s="52">
        <f t="shared" si="9"/>
        <v>100000</v>
      </c>
      <c r="H23" s="36">
        <f t="shared" si="14"/>
        <v>90</v>
      </c>
      <c r="I23" s="29">
        <f t="shared" si="10"/>
        <v>493.15068493150682</v>
      </c>
      <c r="J23" s="52">
        <v>0</v>
      </c>
      <c r="K23" s="52">
        <f>+G23-J23</f>
        <v>100000</v>
      </c>
      <c r="L23" s="31">
        <f t="shared" si="13"/>
        <v>493.15068493150682</v>
      </c>
      <c r="M23" s="32"/>
      <c r="N23" s="37">
        <f t="shared" si="6"/>
        <v>459.84204935068527</v>
      </c>
      <c r="O23" s="38">
        <f t="shared" si="7"/>
        <v>641</v>
      </c>
      <c r="P23" s="39">
        <f t="shared" si="8"/>
        <v>3.0652948439573966</v>
      </c>
    </row>
    <row r="24" spans="1:16" ht="15.75" thickBot="1">
      <c r="A24" s="1"/>
      <c r="B24" s="26">
        <v>46223</v>
      </c>
      <c r="C24" s="27">
        <f t="shared" si="1"/>
        <v>0.02</v>
      </c>
      <c r="D24" s="34">
        <f>+B24</f>
        <v>46223</v>
      </c>
      <c r="E24" s="54"/>
      <c r="F24" s="35">
        <f t="shared" si="3"/>
        <v>46223</v>
      </c>
      <c r="G24" s="52">
        <f t="shared" si="9"/>
        <v>100000</v>
      </c>
      <c r="H24" s="36">
        <f>B24-B23</f>
        <v>93</v>
      </c>
      <c r="I24" s="29">
        <f t="shared" si="10"/>
        <v>509.58904109589042</v>
      </c>
      <c r="J24" s="52">
        <f>+G10</f>
        <v>100000</v>
      </c>
      <c r="K24" s="52">
        <f t="shared" ref="K24" si="15">+G24-J24</f>
        <v>0</v>
      </c>
      <c r="L24" s="31">
        <f t="shared" ref="L24" si="16">+I24+J24</f>
        <v>100509.5890410959</v>
      </c>
      <c r="M24" s="32"/>
      <c r="N24" s="37">
        <f t="shared" si="6"/>
        <v>92795.070235349587</v>
      </c>
      <c r="O24" s="38">
        <f t="shared" si="7"/>
        <v>732</v>
      </c>
      <c r="P24" s="39">
        <f t="shared" si="8"/>
        <v>706.38509859296505</v>
      </c>
    </row>
    <row r="25" spans="1:16" ht="15" hidden="1" outlineLevel="2">
      <c r="A25" s="1"/>
      <c r="B25" s="26"/>
      <c r="C25" s="27"/>
      <c r="D25" s="34"/>
      <c r="E25" s="54"/>
      <c r="F25" s="35"/>
      <c r="G25" s="52"/>
      <c r="H25" s="36"/>
      <c r="I25" s="29"/>
      <c r="J25" s="52"/>
      <c r="K25" s="52"/>
      <c r="L25" s="31"/>
      <c r="M25" s="32"/>
      <c r="N25" s="37"/>
      <c r="O25" s="38"/>
      <c r="P25" s="39"/>
    </row>
    <row r="26" spans="1:16" ht="15" hidden="1" outlineLevel="2">
      <c r="A26" s="1"/>
      <c r="B26" s="26"/>
      <c r="C26" s="27"/>
      <c r="D26" s="34"/>
      <c r="E26" s="54"/>
      <c r="F26" s="35"/>
      <c r="G26" s="52"/>
      <c r="H26" s="36"/>
      <c r="I26" s="29"/>
      <c r="J26" s="52"/>
      <c r="K26" s="52"/>
      <c r="L26" s="31"/>
      <c r="M26" s="32"/>
      <c r="N26" s="37"/>
      <c r="O26" s="38"/>
      <c r="P26" s="39"/>
    </row>
    <row r="27" spans="1:16" ht="15" hidden="1" outlineLevel="2">
      <c r="A27" s="1"/>
      <c r="B27" s="26"/>
      <c r="C27" s="27"/>
      <c r="D27" s="34"/>
      <c r="E27" s="54"/>
      <c r="F27" s="35"/>
      <c r="G27" s="52"/>
      <c r="H27" s="36"/>
      <c r="I27" s="29"/>
      <c r="J27" s="52"/>
      <c r="K27" s="52"/>
      <c r="L27" s="31"/>
      <c r="M27" s="32"/>
      <c r="N27" s="37"/>
      <c r="O27" s="38"/>
      <c r="P27" s="39"/>
    </row>
    <row r="28" spans="1:16" ht="15.75" hidden="1" outlineLevel="2" thickBot="1">
      <c r="A28" s="1"/>
      <c r="B28" s="26"/>
      <c r="C28" s="27"/>
      <c r="D28" s="34"/>
      <c r="E28" s="54"/>
      <c r="F28" s="35"/>
      <c r="G28" s="52"/>
      <c r="H28" s="36"/>
      <c r="I28" s="29"/>
      <c r="J28" s="52"/>
      <c r="K28" s="52"/>
      <c r="L28" s="31"/>
      <c r="M28" s="32"/>
      <c r="N28" s="37"/>
      <c r="O28" s="38"/>
      <c r="P28" s="39"/>
    </row>
    <row r="29" spans="1:16" ht="15.75" collapsed="1" thickBot="1">
      <c r="A29" s="1"/>
      <c r="B29" s="40"/>
      <c r="C29" s="27"/>
      <c r="D29" s="1"/>
      <c r="E29" s="54"/>
      <c r="F29" s="57" t="s">
        <v>18</v>
      </c>
      <c r="G29" s="58"/>
      <c r="H29" s="59"/>
      <c r="I29" s="41">
        <f>SUM(I17:I28)</f>
        <v>4010.9589041095896</v>
      </c>
      <c r="J29" s="53">
        <f>SUM(J17:J28)</f>
        <v>100000</v>
      </c>
      <c r="K29" s="53"/>
      <c r="L29" s="42">
        <f>SUM(L16:L28)</f>
        <v>7850.9589041095896</v>
      </c>
      <c r="M29" s="4"/>
      <c r="N29" s="43">
        <f>SUM(N17:N28)</f>
        <v>96160.000469398889</v>
      </c>
    </row>
    <row r="30" spans="1:16" ht="15" customHeight="1">
      <c r="E30" s="54"/>
    </row>
    <row r="31" spans="1:16" s="47" customFormat="1" ht="37.5" customHeight="1">
      <c r="E31" s="48"/>
      <c r="F31" s="55" t="s">
        <v>20</v>
      </c>
      <c r="G31" s="55"/>
      <c r="H31" s="55"/>
      <c r="I31" s="55"/>
      <c r="J31" s="55"/>
      <c r="K31" s="55"/>
      <c r="L31" s="55"/>
      <c r="M31" s="49"/>
    </row>
    <row r="32" spans="1:16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</sheetData>
  <sheetProtection algorithmName="SHA-512" hashValue="3ILO/zgs1/PG4gpsGCtsVvsHc5K8BItqKT3BmYAXCeeWRIgHb7/vBVhEe8ZYGQTl5pQUQ9EIdOMxsoYVV2YbYg==" saltValue="8wdB4Gp1bzcDgf0jzTnIiw==" spinCount="100000" sheet="1" selectLockedCells="1"/>
  <mergeCells count="6">
    <mergeCell ref="F31:L31"/>
    <mergeCell ref="J10:K10"/>
    <mergeCell ref="J11:K11"/>
    <mergeCell ref="J12:K12"/>
    <mergeCell ref="J13:K13"/>
    <mergeCell ref="F29:H29"/>
  </mergeCells>
  <pageMargins left="0.39370078740157483" right="0.39370078740157483" top="0.39370078740157483" bottom="0.39370078740157483" header="0" footer="0"/>
  <pageSetup paperSize="9" scale="86" orientation="landscape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D11EE-45F6-4FDB-B331-265CB77B8B02}">
  <sheetPr>
    <pageSetUpPr fitToPage="1"/>
  </sheetPr>
  <dimension ref="A1:P86"/>
  <sheetViews>
    <sheetView showGridLines="0" zoomScale="110" zoomScaleNormal="110" workbookViewId="0">
      <selection activeCell="G12" sqref="G12"/>
    </sheetView>
  </sheetViews>
  <sheetFormatPr baseColWidth="10" defaultColWidth="9.140625" defaultRowHeight="0" customHeight="1" zeroHeight="1"/>
  <cols>
    <col min="1" max="1" width="7.5703125" style="5" customWidth="1"/>
    <col min="2" max="2" width="36" style="5" hidden="1" customWidth="1"/>
    <col min="3" max="3" width="15.85546875" style="5" hidden="1" customWidth="1"/>
    <col min="4" max="4" width="36" style="5" hidden="1" customWidth="1"/>
    <col min="5" max="5" width="11.85546875" style="44" customWidth="1"/>
    <col min="6" max="6" width="34.85546875" style="45" customWidth="1"/>
    <col min="7" max="7" width="16.7109375" style="44" bestFit="1" customWidth="1"/>
    <col min="8" max="8" width="13.42578125" style="44" bestFit="1" customWidth="1"/>
    <col min="9" max="9" width="14.85546875" style="44" bestFit="1" customWidth="1"/>
    <col min="10" max="10" width="18.42578125" style="44" bestFit="1" customWidth="1"/>
    <col min="11" max="11" width="20.85546875" style="44" bestFit="1" customWidth="1"/>
    <col min="12" max="12" width="16.85546875" style="44" customWidth="1"/>
    <col min="13" max="13" width="10.42578125" style="46" customWidth="1"/>
    <col min="14" max="14" width="11.28515625" style="5" hidden="1" customWidth="1"/>
    <col min="15" max="15" width="10.42578125" style="5" hidden="1" customWidth="1"/>
    <col min="16" max="16" width="14.140625" style="5" hidden="1" customWidth="1"/>
    <col min="17" max="17" width="10.42578125" style="5" customWidth="1"/>
    <col min="18" max="16384" width="9.140625" style="5"/>
  </cols>
  <sheetData>
    <row r="1" spans="1:16" ht="15"/>
    <row r="2" spans="1:16" ht="15"/>
    <row r="3" spans="1:16" ht="15">
      <c r="A3" s="1"/>
      <c r="B3" s="1"/>
      <c r="C3" s="1"/>
      <c r="D3" s="1"/>
      <c r="E3" s="2"/>
      <c r="F3" s="3"/>
      <c r="G3" s="2"/>
      <c r="H3" s="2"/>
      <c r="I3" s="2"/>
      <c r="J3" s="2"/>
      <c r="K3" s="2"/>
      <c r="L3" s="2"/>
      <c r="M3" s="4"/>
    </row>
    <row r="4" spans="1:16" ht="15">
      <c r="A4" s="1"/>
      <c r="B4" s="1"/>
      <c r="C4" s="1"/>
      <c r="D4" s="1"/>
      <c r="E4" s="2"/>
      <c r="F4" s="3"/>
      <c r="G4" s="2"/>
      <c r="H4" s="2"/>
      <c r="I4" s="2"/>
      <c r="J4" s="2"/>
      <c r="K4" s="2"/>
      <c r="L4" s="2"/>
      <c r="M4" s="4"/>
    </row>
    <row r="5" spans="1:16" ht="15">
      <c r="A5" s="1"/>
      <c r="B5" s="1"/>
      <c r="C5" s="1"/>
      <c r="D5" s="1"/>
      <c r="E5" s="2"/>
      <c r="F5" s="3"/>
      <c r="G5" s="2"/>
      <c r="H5" s="2"/>
      <c r="I5" s="2"/>
      <c r="J5" s="2"/>
      <c r="K5" s="2"/>
      <c r="L5" s="2"/>
      <c r="M5" s="4"/>
    </row>
    <row r="6" spans="1:16" ht="15">
      <c r="A6" s="1"/>
      <c r="B6" s="1"/>
      <c r="C6" s="1"/>
      <c r="D6" s="1"/>
      <c r="E6" s="2"/>
      <c r="F6" s="3"/>
      <c r="G6" s="2"/>
      <c r="H6" s="2"/>
      <c r="I6" s="2"/>
      <c r="J6" s="2"/>
      <c r="K6" s="2"/>
      <c r="L6" s="2"/>
      <c r="M6" s="4"/>
    </row>
    <row r="7" spans="1:16" ht="15">
      <c r="A7" s="1"/>
      <c r="B7" s="1"/>
      <c r="C7" s="1"/>
      <c r="D7" s="1"/>
      <c r="E7" s="2"/>
      <c r="F7" s="6" t="s">
        <v>24</v>
      </c>
      <c r="G7" s="6"/>
      <c r="H7" s="6"/>
      <c r="I7" s="6"/>
      <c r="J7" s="2"/>
      <c r="K7" s="2"/>
      <c r="L7" s="2"/>
      <c r="M7" s="4"/>
    </row>
    <row r="8" spans="1:16" ht="15">
      <c r="A8" s="1"/>
      <c r="B8" s="1"/>
      <c r="C8" s="1"/>
      <c r="D8" s="1"/>
      <c r="E8" s="2"/>
      <c r="F8" s="6" t="s">
        <v>21</v>
      </c>
      <c r="G8" s="2"/>
      <c r="H8" s="2"/>
      <c r="I8" s="2"/>
      <c r="J8" s="2"/>
      <c r="K8" s="2"/>
      <c r="L8" s="2"/>
      <c r="M8" s="4"/>
    </row>
    <row r="9" spans="1:16" ht="10.5" customHeight="1">
      <c r="A9" s="1"/>
      <c r="B9" s="1"/>
      <c r="C9" s="1"/>
      <c r="D9" s="1"/>
      <c r="E9" s="2"/>
      <c r="F9" s="3"/>
      <c r="G9" s="2"/>
      <c r="H9" s="2"/>
      <c r="I9" s="2"/>
      <c r="J9" s="2"/>
      <c r="K9" s="2"/>
      <c r="L9" s="2"/>
      <c r="M9" s="4"/>
    </row>
    <row r="10" spans="1:16" ht="15">
      <c r="A10" s="1"/>
      <c r="B10" s="1"/>
      <c r="C10" s="1"/>
      <c r="D10" s="1"/>
      <c r="E10" s="2"/>
      <c r="F10" s="7" t="s">
        <v>0</v>
      </c>
      <c r="G10" s="8">
        <v>100000</v>
      </c>
      <c r="H10" s="2"/>
      <c r="I10" s="2"/>
      <c r="J10" s="56" t="s">
        <v>1</v>
      </c>
      <c r="K10" s="56"/>
      <c r="L10" s="9">
        <f>+XIRR(L16:L28,F16:F28)</f>
        <v>7.1845504641532928E-2</v>
      </c>
      <c r="M10" s="10"/>
    </row>
    <row r="11" spans="1:16" ht="15">
      <c r="A11" s="1"/>
      <c r="B11" s="1"/>
      <c r="C11" s="1"/>
      <c r="D11" s="1"/>
      <c r="E11" s="2"/>
      <c r="F11" s="7" t="s">
        <v>2</v>
      </c>
      <c r="G11" s="11">
        <v>45491</v>
      </c>
      <c r="H11" s="2"/>
      <c r="I11" s="2"/>
      <c r="J11" s="56" t="s">
        <v>3</v>
      </c>
      <c r="K11" s="56"/>
      <c r="L11" s="9">
        <f>+(((1+L10)^(1/4)-1)*4)</f>
        <v>6.9987159291852841E-2</v>
      </c>
      <c r="M11" s="12"/>
    </row>
    <row r="12" spans="1:16" ht="15">
      <c r="A12" s="1"/>
      <c r="B12" s="1"/>
      <c r="C12" s="1"/>
      <c r="D12" s="1"/>
      <c r="E12" s="2"/>
      <c r="F12" s="51" t="s">
        <v>4</v>
      </c>
      <c r="G12" s="50">
        <v>7.0000000000000007E-2</v>
      </c>
      <c r="H12" s="2"/>
      <c r="I12" s="2"/>
      <c r="J12" s="56" t="s">
        <v>5</v>
      </c>
      <c r="K12" s="56"/>
      <c r="L12" s="13">
        <f>+SUM(P17:P28)/(365/12)</f>
        <v>32.815934988943184</v>
      </c>
      <c r="M12" s="12"/>
    </row>
    <row r="13" spans="1:16" ht="15">
      <c r="A13" s="1"/>
      <c r="B13" s="1"/>
      <c r="C13" s="1"/>
      <c r="D13" s="1"/>
      <c r="E13" s="2"/>
      <c r="F13" s="51" t="s">
        <v>6</v>
      </c>
      <c r="G13" s="14">
        <v>1.0000000031399316</v>
      </c>
      <c r="I13" s="6"/>
      <c r="J13" s="56" t="s">
        <v>19</v>
      </c>
      <c r="K13" s="56"/>
      <c r="L13" s="13">
        <f>+SUM(P17:P28)/(365)</f>
        <v>2.7346612490785986</v>
      </c>
      <c r="M13" s="15"/>
      <c r="N13" s="16"/>
    </row>
    <row r="14" spans="1:16" ht="15.75" thickBot="1">
      <c r="A14" s="1"/>
      <c r="B14" s="1"/>
      <c r="C14" s="1"/>
      <c r="D14" s="1"/>
      <c r="E14" s="2"/>
      <c r="F14" s="3"/>
      <c r="G14" s="2"/>
      <c r="H14" s="2"/>
      <c r="I14" s="2"/>
      <c r="J14" s="2"/>
      <c r="K14" s="2"/>
      <c r="L14" s="2"/>
      <c r="M14" s="17"/>
      <c r="N14" s="16"/>
    </row>
    <row r="15" spans="1:16" s="25" customFormat="1" ht="28.5" customHeight="1" thickBot="1">
      <c r="A15" s="18"/>
      <c r="B15" s="19"/>
      <c r="C15" s="19" t="s">
        <v>7</v>
      </c>
      <c r="D15" s="19"/>
      <c r="E15" s="20"/>
      <c r="F15" s="21" t="s">
        <v>8</v>
      </c>
      <c r="G15" s="21" t="s">
        <v>9</v>
      </c>
      <c r="H15" s="21" t="s">
        <v>10</v>
      </c>
      <c r="I15" s="21" t="s">
        <v>11</v>
      </c>
      <c r="J15" s="21" t="s">
        <v>12</v>
      </c>
      <c r="K15" s="21" t="s">
        <v>13</v>
      </c>
      <c r="L15" s="22" t="s">
        <v>14</v>
      </c>
      <c r="M15" s="23"/>
      <c r="N15" s="24" t="s">
        <v>15</v>
      </c>
      <c r="O15" s="24" t="s">
        <v>16</v>
      </c>
      <c r="P15" s="24" t="s">
        <v>17</v>
      </c>
    </row>
    <row r="16" spans="1:16" ht="15">
      <c r="A16" s="1"/>
      <c r="B16" s="26">
        <f>+D16</f>
        <v>45491</v>
      </c>
      <c r="C16" s="27">
        <f>+$G$12</f>
        <v>7.0000000000000007E-2</v>
      </c>
      <c r="D16" s="26">
        <f>+G11</f>
        <v>45491</v>
      </c>
      <c r="F16" s="28">
        <f>+G11</f>
        <v>45491</v>
      </c>
      <c r="G16" s="52">
        <f>+G10</f>
        <v>100000</v>
      </c>
      <c r="H16" s="30"/>
      <c r="I16" s="29"/>
      <c r="J16" s="52"/>
      <c r="K16" s="52">
        <f t="shared" ref="K16:K19" si="0">+G16-J16</f>
        <v>100000</v>
      </c>
      <c r="L16" s="31">
        <f>-G16*G13</f>
        <v>-100000.00031399317</v>
      </c>
      <c r="M16" s="32"/>
      <c r="N16" s="33"/>
      <c r="O16" s="33"/>
    </row>
    <row r="17" spans="1:16" ht="15">
      <c r="A17" s="1"/>
      <c r="B17" s="26">
        <v>45583</v>
      </c>
      <c r="C17" s="27">
        <f t="shared" ref="C17:C28" si="1">+$G$12</f>
        <v>7.0000000000000007E-2</v>
      </c>
      <c r="D17" s="34">
        <f t="shared" ref="D17" si="2">+B17</f>
        <v>45583</v>
      </c>
      <c r="E17" s="54"/>
      <c r="F17" s="35">
        <f t="shared" ref="F17:F28" si="3">+D17</f>
        <v>45583</v>
      </c>
      <c r="G17" s="52">
        <f>K16</f>
        <v>100000</v>
      </c>
      <c r="H17" s="36">
        <f>B17-B16</f>
        <v>92</v>
      </c>
      <c r="I17" s="29">
        <f t="shared" ref="I17:I28" si="4">G17*$G$12*(H17/365)</f>
        <v>1764.3835616438359</v>
      </c>
      <c r="J17" s="52">
        <v>0</v>
      </c>
      <c r="K17" s="52">
        <f t="shared" si="0"/>
        <v>100000</v>
      </c>
      <c r="L17" s="31">
        <f t="shared" ref="L17:L27" si="5">+I17+J17</f>
        <v>1764.3835616438359</v>
      </c>
      <c r="M17" s="32"/>
      <c r="N17" s="37">
        <f t="shared" ref="N17:N22" si="6">+L17/(1+$L$10)^((O17)/365)</f>
        <v>1733.7961719268781</v>
      </c>
      <c r="O17" s="38">
        <f t="shared" ref="O17:O22" si="7">+F17-$F$16</f>
        <v>92</v>
      </c>
      <c r="P17" s="39">
        <f t="shared" ref="P17:P22" si="8">+(N17/$N$29)*O17</f>
        <v>1.5950924714104604</v>
      </c>
    </row>
    <row r="18" spans="1:16" ht="15">
      <c r="A18" s="1"/>
      <c r="B18" s="26">
        <v>45675</v>
      </c>
      <c r="C18" s="27">
        <f t="shared" si="1"/>
        <v>7.0000000000000007E-2</v>
      </c>
      <c r="D18" s="34">
        <f>+B18+2</f>
        <v>45677</v>
      </c>
      <c r="E18" s="54"/>
      <c r="F18" s="35">
        <f t="shared" si="3"/>
        <v>45677</v>
      </c>
      <c r="G18" s="52">
        <f t="shared" ref="G18:G28" si="9">K17</f>
        <v>100000</v>
      </c>
      <c r="H18" s="36">
        <f t="shared" ref="H18:H28" si="10">B18-B17</f>
        <v>92</v>
      </c>
      <c r="I18" s="29">
        <f t="shared" si="4"/>
        <v>1764.3835616438359</v>
      </c>
      <c r="J18" s="52">
        <v>0</v>
      </c>
      <c r="K18" s="52">
        <f t="shared" si="0"/>
        <v>100000</v>
      </c>
      <c r="L18" s="31">
        <f t="shared" si="5"/>
        <v>1764.3835616438359</v>
      </c>
      <c r="M18" s="32"/>
      <c r="N18" s="37">
        <f t="shared" si="6"/>
        <v>1703.0914499808732</v>
      </c>
      <c r="O18" s="38">
        <f t="shared" si="7"/>
        <v>186</v>
      </c>
      <c r="P18" s="39">
        <f t="shared" si="8"/>
        <v>3.1677500835350005</v>
      </c>
    </row>
    <row r="19" spans="1:16" ht="15">
      <c r="A19" s="1"/>
      <c r="B19" s="26">
        <v>45765</v>
      </c>
      <c r="C19" s="27">
        <f t="shared" si="1"/>
        <v>7.0000000000000007E-2</v>
      </c>
      <c r="D19" s="34">
        <f>+B19</f>
        <v>45765</v>
      </c>
      <c r="E19" s="54"/>
      <c r="F19" s="35">
        <f t="shared" si="3"/>
        <v>45765</v>
      </c>
      <c r="G19" s="52">
        <f t="shared" si="9"/>
        <v>100000</v>
      </c>
      <c r="H19" s="36">
        <f t="shared" si="10"/>
        <v>90</v>
      </c>
      <c r="I19" s="29">
        <f t="shared" si="4"/>
        <v>1726.027397260274</v>
      </c>
      <c r="J19" s="52">
        <v>0</v>
      </c>
      <c r="K19" s="52">
        <f t="shared" si="0"/>
        <v>100000</v>
      </c>
      <c r="L19" s="31">
        <f t="shared" si="5"/>
        <v>1726.027397260274</v>
      </c>
      <c r="M19" s="32"/>
      <c r="N19" s="37">
        <f t="shared" si="6"/>
        <v>1638.4300452126352</v>
      </c>
      <c r="O19" s="38">
        <f t="shared" si="7"/>
        <v>274</v>
      </c>
      <c r="P19" s="39">
        <f t="shared" si="8"/>
        <v>4.4892983048505979</v>
      </c>
    </row>
    <row r="20" spans="1:16" ht="15">
      <c r="A20" s="1"/>
      <c r="B20" s="26">
        <v>45856</v>
      </c>
      <c r="C20" s="27">
        <f t="shared" si="1"/>
        <v>7.0000000000000007E-2</v>
      </c>
      <c r="D20" s="34">
        <f>+B20</f>
        <v>45856</v>
      </c>
      <c r="E20" s="54"/>
      <c r="F20" s="35">
        <f t="shared" si="3"/>
        <v>45856</v>
      </c>
      <c r="G20" s="52">
        <f t="shared" si="9"/>
        <v>100000</v>
      </c>
      <c r="H20" s="36">
        <f t="shared" si="10"/>
        <v>91</v>
      </c>
      <c r="I20" s="29">
        <f t="shared" si="4"/>
        <v>1745.205479452055</v>
      </c>
      <c r="J20" s="52">
        <v>0</v>
      </c>
      <c r="K20" s="52">
        <f t="shared" ref="K20:K27" si="11">+G20-J20</f>
        <v>100000</v>
      </c>
      <c r="L20" s="31">
        <f t="shared" si="5"/>
        <v>1745.205479452055</v>
      </c>
      <c r="M20" s="32"/>
      <c r="N20" s="37">
        <f t="shared" si="6"/>
        <v>1628.2248438740432</v>
      </c>
      <c r="O20" s="38">
        <f t="shared" si="7"/>
        <v>365</v>
      </c>
      <c r="P20" s="39">
        <f t="shared" si="8"/>
        <v>5.9430206549452951</v>
      </c>
    </row>
    <row r="21" spans="1:16" ht="15">
      <c r="A21" s="1"/>
      <c r="B21" s="26">
        <v>45948</v>
      </c>
      <c r="C21" s="27">
        <f t="shared" si="1"/>
        <v>7.0000000000000007E-2</v>
      </c>
      <c r="D21" s="34">
        <f>+B21+2</f>
        <v>45950</v>
      </c>
      <c r="E21" s="54"/>
      <c r="F21" s="35">
        <f t="shared" si="3"/>
        <v>45950</v>
      </c>
      <c r="G21" s="52">
        <f t="shared" si="9"/>
        <v>100000</v>
      </c>
      <c r="H21" s="36">
        <f t="shared" si="10"/>
        <v>92</v>
      </c>
      <c r="I21" s="29">
        <f t="shared" si="4"/>
        <v>1764.3835616438359</v>
      </c>
      <c r="J21" s="52">
        <v>0</v>
      </c>
      <c r="K21" s="52">
        <f t="shared" si="11"/>
        <v>100000</v>
      </c>
      <c r="L21" s="31">
        <f t="shared" si="5"/>
        <v>1764.3835616438359</v>
      </c>
      <c r="M21" s="32"/>
      <c r="N21" s="37">
        <f t="shared" si="6"/>
        <v>1616.9654523715724</v>
      </c>
      <c r="O21" s="38">
        <f t="shared" si="7"/>
        <v>459</v>
      </c>
      <c r="P21" s="39">
        <f t="shared" si="8"/>
        <v>7.4218713949210864</v>
      </c>
    </row>
    <row r="22" spans="1:16" ht="15">
      <c r="A22" s="1"/>
      <c r="B22" s="26">
        <v>46040</v>
      </c>
      <c r="C22" s="27">
        <f t="shared" si="1"/>
        <v>7.0000000000000007E-2</v>
      </c>
      <c r="D22" s="34">
        <f>+B22+1</f>
        <v>46041</v>
      </c>
      <c r="E22" s="54"/>
      <c r="F22" s="35">
        <f t="shared" si="3"/>
        <v>46041</v>
      </c>
      <c r="G22" s="52">
        <f t="shared" si="9"/>
        <v>100000</v>
      </c>
      <c r="H22" s="36">
        <f t="shared" si="10"/>
        <v>92</v>
      </c>
      <c r="I22" s="29">
        <f t="shared" si="4"/>
        <v>1764.3835616438359</v>
      </c>
      <c r="J22" s="52">
        <v>0</v>
      </c>
      <c r="K22" s="52">
        <f t="shared" si="11"/>
        <v>100000</v>
      </c>
      <c r="L22" s="31">
        <f t="shared" si="5"/>
        <v>1764.3835616438359</v>
      </c>
      <c r="M22" s="32"/>
      <c r="N22" s="37">
        <f t="shared" si="6"/>
        <v>1589.2357711560001</v>
      </c>
      <c r="O22" s="38">
        <f t="shared" si="7"/>
        <v>550</v>
      </c>
      <c r="P22" s="39">
        <f t="shared" si="8"/>
        <v>8.74079670430209</v>
      </c>
    </row>
    <row r="23" spans="1:16" ht="15">
      <c r="A23" s="1"/>
      <c r="B23" s="26">
        <v>46130</v>
      </c>
      <c r="C23" s="27">
        <f t="shared" si="1"/>
        <v>7.0000000000000007E-2</v>
      </c>
      <c r="D23" s="34">
        <f>+B23+2</f>
        <v>46132</v>
      </c>
      <c r="E23" s="54"/>
      <c r="F23" s="35">
        <f t="shared" si="3"/>
        <v>46132</v>
      </c>
      <c r="G23" s="52">
        <f t="shared" si="9"/>
        <v>100000</v>
      </c>
      <c r="H23" s="36">
        <f t="shared" si="10"/>
        <v>90</v>
      </c>
      <c r="I23" s="29">
        <f t="shared" si="4"/>
        <v>1726.027397260274</v>
      </c>
      <c r="J23" s="52">
        <v>0</v>
      </c>
      <c r="K23" s="52">
        <f t="shared" si="11"/>
        <v>100000</v>
      </c>
      <c r="L23" s="31">
        <f t="shared" si="5"/>
        <v>1726.027397260274</v>
      </c>
      <c r="M23" s="32"/>
      <c r="N23" s="37">
        <f t="shared" ref="N23:N27" si="12">+L23/(1+$L$10)^((O23)/365)</f>
        <v>1528.0255096492142</v>
      </c>
      <c r="O23" s="38">
        <f t="shared" ref="O23:O28" si="13">+F23-$F$16</f>
        <v>641</v>
      </c>
      <c r="P23" s="39">
        <f t="shared" ref="P23:P26" si="14">+(N23/$N$29)*O23</f>
        <v>9.7946434753278542</v>
      </c>
    </row>
    <row r="24" spans="1:16" ht="15">
      <c r="A24" s="1"/>
      <c r="B24" s="26">
        <v>46221</v>
      </c>
      <c r="C24" s="27">
        <f t="shared" si="1"/>
        <v>7.0000000000000007E-2</v>
      </c>
      <c r="D24" s="34">
        <f>+B24+2</f>
        <v>46223</v>
      </c>
      <c r="E24" s="54"/>
      <c r="F24" s="35">
        <f t="shared" si="3"/>
        <v>46223</v>
      </c>
      <c r="G24" s="52">
        <f t="shared" si="9"/>
        <v>100000</v>
      </c>
      <c r="H24" s="36">
        <f t="shared" si="10"/>
        <v>91</v>
      </c>
      <c r="I24" s="29">
        <f t="shared" si="4"/>
        <v>1745.205479452055</v>
      </c>
      <c r="J24" s="52">
        <v>0</v>
      </c>
      <c r="K24" s="52">
        <f t="shared" si="11"/>
        <v>100000</v>
      </c>
      <c r="L24" s="31">
        <f t="shared" si="5"/>
        <v>1745.205479452055</v>
      </c>
      <c r="M24" s="32"/>
      <c r="N24" s="37">
        <f t="shared" si="12"/>
        <v>1518.5079791192786</v>
      </c>
      <c r="O24" s="38">
        <f t="shared" si="13"/>
        <v>732</v>
      </c>
      <c r="P24" s="39">
        <f t="shared" si="14"/>
        <v>11.115478360029936</v>
      </c>
    </row>
    <row r="25" spans="1:16" ht="15">
      <c r="A25" s="1"/>
      <c r="B25" s="26">
        <v>46313</v>
      </c>
      <c r="C25" s="27">
        <f t="shared" si="1"/>
        <v>7.0000000000000007E-2</v>
      </c>
      <c r="D25" s="34">
        <f>+B25+1</f>
        <v>46314</v>
      </c>
      <c r="E25" s="54"/>
      <c r="F25" s="35">
        <f t="shared" si="3"/>
        <v>46314</v>
      </c>
      <c r="G25" s="52">
        <f t="shared" si="9"/>
        <v>100000</v>
      </c>
      <c r="H25" s="36">
        <f t="shared" si="10"/>
        <v>92</v>
      </c>
      <c r="I25" s="29">
        <f t="shared" si="4"/>
        <v>1764.3835616438359</v>
      </c>
      <c r="J25" s="52">
        <v>0</v>
      </c>
      <c r="K25" s="52">
        <f t="shared" si="11"/>
        <v>100000</v>
      </c>
      <c r="L25" s="31">
        <f t="shared" si="5"/>
        <v>1764.3835616438359</v>
      </c>
      <c r="M25" s="32"/>
      <c r="N25" s="37">
        <f t="shared" si="12"/>
        <v>1508.8674995469012</v>
      </c>
      <c r="O25" s="38">
        <f t="shared" si="13"/>
        <v>823</v>
      </c>
      <c r="P25" s="39">
        <f t="shared" si="14"/>
        <v>12.417979468625964</v>
      </c>
    </row>
    <row r="26" spans="1:16" ht="15">
      <c r="A26" s="1"/>
      <c r="B26" s="26">
        <v>46405</v>
      </c>
      <c r="C26" s="27">
        <f t="shared" si="1"/>
        <v>7.0000000000000007E-2</v>
      </c>
      <c r="D26" s="34">
        <f t="shared" ref="D26" si="15">+B26</f>
        <v>46405</v>
      </c>
      <c r="E26" s="54"/>
      <c r="F26" s="35">
        <f t="shared" si="3"/>
        <v>46405</v>
      </c>
      <c r="G26" s="52">
        <f t="shared" si="9"/>
        <v>100000</v>
      </c>
      <c r="H26" s="36">
        <f t="shared" si="10"/>
        <v>92</v>
      </c>
      <c r="I26" s="29">
        <f t="shared" si="4"/>
        <v>1764.3835616438359</v>
      </c>
      <c r="J26" s="52">
        <v>0</v>
      </c>
      <c r="K26" s="52">
        <f t="shared" si="11"/>
        <v>100000</v>
      </c>
      <c r="L26" s="31">
        <f t="shared" si="5"/>
        <v>1764.3835616438359</v>
      </c>
      <c r="M26" s="32"/>
      <c r="N26" s="37">
        <f t="shared" si="12"/>
        <v>1482.9916128991022</v>
      </c>
      <c r="O26" s="38">
        <f t="shared" si="13"/>
        <v>914</v>
      </c>
      <c r="P26" s="39">
        <f t="shared" si="14"/>
        <v>13.55454328443439</v>
      </c>
    </row>
    <row r="27" spans="1:16" ht="15">
      <c r="A27" s="1"/>
      <c r="B27" s="26">
        <v>46495</v>
      </c>
      <c r="C27" s="27">
        <f t="shared" si="1"/>
        <v>7.0000000000000007E-2</v>
      </c>
      <c r="D27" s="34">
        <f>+B27+1</f>
        <v>46496</v>
      </c>
      <c r="E27" s="54"/>
      <c r="F27" s="35">
        <f t="shared" si="3"/>
        <v>46496</v>
      </c>
      <c r="G27" s="52">
        <f t="shared" si="9"/>
        <v>100000</v>
      </c>
      <c r="H27" s="36">
        <f t="shared" si="10"/>
        <v>90</v>
      </c>
      <c r="I27" s="29">
        <f t="shared" si="4"/>
        <v>1726.027397260274</v>
      </c>
      <c r="J27" s="52">
        <v>0</v>
      </c>
      <c r="K27" s="52">
        <f t="shared" si="11"/>
        <v>100000</v>
      </c>
      <c r="L27" s="31">
        <f t="shared" si="5"/>
        <v>1726.027397260274</v>
      </c>
      <c r="M27" s="32"/>
      <c r="N27" s="37">
        <f t="shared" si="12"/>
        <v>1425.8734016900157</v>
      </c>
      <c r="O27" s="38">
        <f t="shared" si="13"/>
        <v>1005</v>
      </c>
      <c r="P27" s="39">
        <f>+(N27/$N$29)*O27</f>
        <v>14.330027626233647</v>
      </c>
    </row>
    <row r="28" spans="1:16" ht="15.75" thickBot="1">
      <c r="A28" s="1"/>
      <c r="B28" s="26">
        <v>46587</v>
      </c>
      <c r="C28" s="27">
        <f t="shared" si="1"/>
        <v>7.0000000000000007E-2</v>
      </c>
      <c r="D28" s="34">
        <f>+B28</f>
        <v>46587</v>
      </c>
      <c r="E28" s="54"/>
      <c r="F28" s="35">
        <f t="shared" si="3"/>
        <v>46587</v>
      </c>
      <c r="G28" s="52">
        <f t="shared" si="9"/>
        <v>100000</v>
      </c>
      <c r="H28" s="36">
        <f t="shared" si="10"/>
        <v>92</v>
      </c>
      <c r="I28" s="29">
        <f t="shared" si="4"/>
        <v>1764.3835616438359</v>
      </c>
      <c r="J28" s="52">
        <f>+G10</f>
        <v>100000</v>
      </c>
      <c r="K28" s="52">
        <f t="shared" ref="K28" si="16">+G28-J28</f>
        <v>0</v>
      </c>
      <c r="L28" s="31">
        <f>+I28+J28</f>
        <v>101764.38356164383</v>
      </c>
      <c r="M28" s="32"/>
      <c r="N28" s="37">
        <f>+L28/(1+$L$10)^((O28)/365)</f>
        <v>82625.990686515506</v>
      </c>
      <c r="O28" s="38">
        <f t="shared" si="13"/>
        <v>1096</v>
      </c>
      <c r="P28" s="39">
        <f>+(N28/$N$29)*O28</f>
        <v>905.58085408507225</v>
      </c>
    </row>
    <row r="29" spans="1:16" ht="15.75" thickBot="1">
      <c r="A29" s="1"/>
      <c r="B29" s="40"/>
      <c r="C29" s="27"/>
      <c r="D29" s="1"/>
      <c r="E29" s="54"/>
      <c r="F29" s="57" t="s">
        <v>18</v>
      </c>
      <c r="G29" s="58"/>
      <c r="H29" s="59"/>
      <c r="I29" s="41">
        <f>SUM(I17:I28)</f>
        <v>21019.178082191786</v>
      </c>
      <c r="J29" s="53">
        <f>SUM(J17:J28)</f>
        <v>100000</v>
      </c>
      <c r="K29" s="53"/>
      <c r="L29" s="42">
        <f>SUM(L16:L28)</f>
        <v>21019.17776819857</v>
      </c>
      <c r="M29" s="4"/>
      <c r="N29" s="43">
        <f>SUM(N17:N28)</f>
        <v>100000.00042394202</v>
      </c>
    </row>
    <row r="30" spans="1:16" ht="15" customHeight="1">
      <c r="E30" s="54"/>
    </row>
    <row r="31" spans="1:16" s="47" customFormat="1" ht="37.5" customHeight="1">
      <c r="E31" s="48"/>
      <c r="F31" s="55" t="s">
        <v>20</v>
      </c>
      <c r="G31" s="55"/>
      <c r="H31" s="55"/>
      <c r="I31" s="55"/>
      <c r="J31" s="55"/>
      <c r="K31" s="55"/>
      <c r="L31" s="55"/>
      <c r="M31" s="49"/>
    </row>
    <row r="32" spans="1:16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</sheetData>
  <sheetProtection algorithmName="SHA-512" hashValue="AYr5FQ1RQexPCoY5hI7bRy4RmPZWOj7leNS6oZ84C0dY2wjZl0JEuZz+aCfoRC+kdtPtwsk9gqUXTFLtdmx7aA==" saltValue="l/JRgGR5H1GDAl+GThR+tQ==" spinCount="100000" sheet="1" selectLockedCells="1"/>
  <mergeCells count="6">
    <mergeCell ref="F31:L31"/>
    <mergeCell ref="J10:K10"/>
    <mergeCell ref="J11:K11"/>
    <mergeCell ref="J12:K12"/>
    <mergeCell ref="J13:K13"/>
    <mergeCell ref="F29:H29"/>
  </mergeCells>
  <pageMargins left="0.39370078740157483" right="0.39370078740157483" top="0.39370078740157483" bottom="0.39370078740157483" header="0" footer="0"/>
  <pageSetup paperSize="9" scale="86" orientation="landscape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 ON Clase XII</vt:lpstr>
      <vt:lpstr>ON Clase XIII</vt:lpstr>
      <vt:lpstr>' ON Clase XII'!Área_de_impresión</vt:lpstr>
      <vt:lpstr>'ON Clase XIII'!Área_de_impresión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Matias Aizpeolea</dc:creator>
  <cp:lastModifiedBy>Leonardo Di Pietro</cp:lastModifiedBy>
  <dcterms:created xsi:type="dcterms:W3CDTF">2021-09-15T11:57:40Z</dcterms:created>
  <dcterms:modified xsi:type="dcterms:W3CDTF">2024-07-16T14:18:18Z</dcterms:modified>
</cp:coreProperties>
</file>