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1\Compartida\Finanzas Corporativas\EMPRESAS\VISTA\ON Clases XXIII Adicionales y XXIV\"/>
    </mc:Choice>
  </mc:AlternateContent>
  <xr:revisionPtr revIDLastSave="0" documentId="13_ncr:1_{EF73D4C9-EB36-4D5F-A8A6-4329F32DEC3D}" xr6:coauthVersionLast="47" xr6:coauthVersionMax="47" xr10:uidLastSave="{00000000-0000-0000-0000-000000000000}"/>
  <bookViews>
    <workbookView xWindow="28680" yWindow="-120" windowWidth="29040" windowHeight="15840" xr2:uid="{5A7869C8-6724-4931-8FBD-F406316EB44F}"/>
  </bookViews>
  <sheets>
    <sheet name="ON Clase XXIII Ad" sheetId="5" r:id="rId1"/>
    <sheet name="ON Clase XXIV" sheetId="6" r:id="rId2"/>
  </sheets>
  <definedNames>
    <definedName name="_xlnm.Print_Area" localSheetId="0">'ON Clase XXIII Ad'!$A$8:$O$19</definedName>
    <definedName name="_xlnm.Print_Area" localSheetId="1">'ON Clase XXIV'!$A$8:$O$17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6" l="1"/>
  <c r="O19" i="6"/>
  <c r="O20" i="6"/>
  <c r="O21" i="6"/>
  <c r="O22" i="6"/>
  <c r="O23" i="6"/>
  <c r="O24" i="6"/>
  <c r="O25" i="6"/>
  <c r="O26" i="6"/>
  <c r="J23" i="6"/>
  <c r="J24" i="6" s="1"/>
  <c r="J25" i="6" s="1"/>
  <c r="J26" i="6" s="1"/>
  <c r="F18" i="6"/>
  <c r="F19" i="6"/>
  <c r="F20" i="6"/>
  <c r="F21" i="6"/>
  <c r="F22" i="6"/>
  <c r="F23" i="6"/>
  <c r="F24" i="6"/>
  <c r="F25" i="6"/>
  <c r="F26" i="6"/>
  <c r="D23" i="6"/>
  <c r="D22" i="6"/>
  <c r="D21" i="6"/>
  <c r="D20" i="6"/>
  <c r="D19" i="6"/>
  <c r="D18" i="6"/>
  <c r="D17" i="6"/>
  <c r="H23" i="6"/>
  <c r="D26" i="6"/>
  <c r="C26" i="6"/>
  <c r="D25" i="6"/>
  <c r="C25" i="6"/>
  <c r="D24" i="6"/>
  <c r="C24" i="6"/>
  <c r="C23" i="6"/>
  <c r="C22" i="6"/>
  <c r="H21" i="6"/>
  <c r="C21" i="6"/>
  <c r="H20" i="6"/>
  <c r="C20" i="6"/>
  <c r="H19" i="6"/>
  <c r="C19" i="6"/>
  <c r="H18" i="6"/>
  <c r="C18" i="6"/>
  <c r="F17" i="6"/>
  <c r="C17" i="6"/>
  <c r="G16" i="6"/>
  <c r="L16" i="6" s="1"/>
  <c r="F16" i="6"/>
  <c r="D16" i="6"/>
  <c r="C16" i="6"/>
  <c r="B16" i="6"/>
  <c r="H17" i="6" s="1"/>
  <c r="H26" i="6" l="1"/>
  <c r="H24" i="6"/>
  <c r="H25" i="6"/>
  <c r="O17" i="6"/>
  <c r="K16" i="6"/>
  <c r="G17" i="6" s="1"/>
  <c r="G23" i="6" s="1"/>
  <c r="I23" i="6" s="1"/>
  <c r="L23" i="6" s="1"/>
  <c r="H22" i="6"/>
  <c r="I17" i="6"/>
  <c r="K23" i="6" l="1"/>
  <c r="G24" i="6" s="1"/>
  <c r="I24" i="6" s="1"/>
  <c r="L24" i="6" s="1"/>
  <c r="K17" i="6"/>
  <c r="G18" i="6" s="1"/>
  <c r="K18" i="6" s="1"/>
  <c r="G19" i="6" s="1"/>
  <c r="L17" i="6"/>
  <c r="I18" i="6"/>
  <c r="L18" i="6" s="1"/>
  <c r="K24" i="6" l="1"/>
  <c r="G25" i="6" s="1"/>
  <c r="I25" i="6" s="1"/>
  <c r="L25" i="6" s="1"/>
  <c r="K19" i="6"/>
  <c r="G20" i="6" s="1"/>
  <c r="I19" i="6"/>
  <c r="L19" i="6" s="1"/>
  <c r="K25" i="6" l="1"/>
  <c r="G26" i="6" s="1"/>
  <c r="I26" i="6" s="1"/>
  <c r="L26" i="6" s="1"/>
  <c r="I20" i="6"/>
  <c r="K20" i="6"/>
  <c r="G21" i="6" s="1"/>
  <c r="L20" i="6" l="1"/>
  <c r="K26" i="6"/>
  <c r="K21" i="6"/>
  <c r="G22" i="6" s="1"/>
  <c r="I21" i="6"/>
  <c r="L21" i="6" s="1"/>
  <c r="I22" i="6" l="1"/>
  <c r="J27" i="6"/>
  <c r="L22" i="6" l="1"/>
  <c r="L27" i="6" s="1"/>
  <c r="I27" i="6"/>
  <c r="L10" i="6"/>
  <c r="K22" i="6"/>
  <c r="N23" i="6" l="1"/>
  <c r="N17" i="6"/>
  <c r="N24" i="6"/>
  <c r="N25" i="6"/>
  <c r="N26" i="6"/>
  <c r="N22" i="6"/>
  <c r="L11" i="6"/>
  <c r="N18" i="6"/>
  <c r="N19" i="6"/>
  <c r="N20" i="6"/>
  <c r="N21" i="6"/>
  <c r="P20" i="6" l="1"/>
  <c r="N27" i="6"/>
  <c r="P21" i="6" s="1"/>
  <c r="P18" i="6"/>
  <c r="P22" i="6"/>
  <c r="P25" i="6"/>
  <c r="P17" i="6"/>
  <c r="P19" i="6" l="1"/>
  <c r="P24" i="6"/>
  <c r="P23" i="6"/>
  <c r="P26" i="6"/>
  <c r="H24" i="5"/>
  <c r="H23" i="5"/>
  <c r="H22" i="5"/>
  <c r="H21" i="5"/>
  <c r="H20" i="5"/>
  <c r="H19" i="5"/>
  <c r="G15" i="5"/>
  <c r="L12" i="6" l="1"/>
  <c r="L13" i="6"/>
  <c r="D24" i="5"/>
  <c r="D21" i="5"/>
  <c r="D23" i="5"/>
  <c r="D22" i="5"/>
  <c r="D20" i="5"/>
  <c r="F24" i="5" l="1"/>
  <c r="C24" i="5"/>
  <c r="F23" i="5"/>
  <c r="C23" i="5"/>
  <c r="F22" i="5"/>
  <c r="C22" i="5"/>
  <c r="F21" i="5"/>
  <c r="C21" i="5"/>
  <c r="F20" i="5"/>
  <c r="C20" i="5"/>
  <c r="D19" i="5"/>
  <c r="F19" i="5" s="1"/>
  <c r="O19" i="5" s="1"/>
  <c r="C19" i="5"/>
  <c r="G18" i="5"/>
  <c r="K18" i="5" s="1"/>
  <c r="G19" i="5" s="1"/>
  <c r="I19" i="5" s="1"/>
  <c r="D18" i="5"/>
  <c r="C18" i="5"/>
  <c r="B18" i="5"/>
  <c r="L18" i="5" l="1"/>
  <c r="O24" i="5"/>
  <c r="O20" i="5"/>
  <c r="O21" i="5"/>
  <c r="O22" i="5"/>
  <c r="O23" i="5"/>
  <c r="K19" i="5" l="1"/>
  <c r="G20" i="5" s="1"/>
  <c r="L19" i="5"/>
  <c r="I20" i="5" l="1"/>
  <c r="K20" i="5" l="1"/>
  <c r="G21" i="5" s="1"/>
  <c r="L20" i="5"/>
  <c r="I21" i="5" l="1"/>
  <c r="K21" i="5" l="1"/>
  <c r="G22" i="5" s="1"/>
  <c r="I22" i="5" l="1"/>
  <c r="L21" i="5"/>
  <c r="K22" i="5" l="1"/>
  <c r="G23" i="5" s="1"/>
  <c r="I23" i="5" l="1"/>
  <c r="L22" i="5"/>
  <c r="K23" i="5" l="1"/>
  <c r="G24" i="5" s="1"/>
  <c r="L23" i="5"/>
  <c r="I24" i="5" l="1"/>
  <c r="I25" i="5" s="1"/>
  <c r="J24" i="5" l="1"/>
  <c r="K24" i="5" l="1"/>
  <c r="J25" i="5"/>
  <c r="L24" i="5"/>
  <c r="L12" i="5" s="1"/>
  <c r="N19" i="5" l="1"/>
  <c r="L13" i="5"/>
  <c r="L25" i="5"/>
  <c r="N20" i="5" l="1"/>
  <c r="N21" i="5"/>
  <c r="N22" i="5"/>
  <c r="N23" i="5"/>
  <c r="N24" i="5"/>
  <c r="N25" i="5" l="1"/>
  <c r="P19" i="5" s="1"/>
  <c r="P23" i="5" l="1"/>
  <c r="P22" i="5"/>
  <c r="P20" i="5"/>
  <c r="P24" i="5"/>
  <c r="P21" i="5"/>
  <c r="L14" i="5" l="1"/>
  <c r="L15" i="5"/>
</calcChain>
</file>

<file path=xl/sharedStrings.xml><?xml version="1.0" encoding="utf-8"?>
<sst xmlns="http://schemas.openxmlformats.org/spreadsheetml/2006/main" count="48" uniqueCount="31">
  <si>
    <t>TIR</t>
  </si>
  <si>
    <t>Duration (meses)</t>
  </si>
  <si>
    <t>Tasa de cupon</t>
  </si>
  <si>
    <t>Fecha de Pago</t>
  </si>
  <si>
    <t>Capital (USD)</t>
  </si>
  <si>
    <t>Días Intereses</t>
  </si>
  <si>
    <t>Intereses (USD)</t>
  </si>
  <si>
    <t>Amortización (USD)</t>
  </si>
  <si>
    <t>Capital Residual (USD)</t>
  </si>
  <si>
    <t>Flujo (USD)</t>
  </si>
  <si>
    <t>VA Flujo</t>
  </si>
  <si>
    <t>Días Flujo</t>
  </si>
  <si>
    <t>Duration</t>
  </si>
  <si>
    <t>Totales</t>
  </si>
  <si>
    <t>Duration (años)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</si>
  <si>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</si>
  <si>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TNA (180 d)</t>
  </si>
  <si>
    <t>ON Vista Energy Argentina S.A.U. Clase XXIII Adicionales</t>
  </si>
  <si>
    <t>Fecha de Emisión Original</t>
  </si>
  <si>
    <t>Fecha de Emisión Reapertura</t>
  </si>
  <si>
    <t>Tasa Cupón</t>
  </si>
  <si>
    <t>VN (USD) Ofertado</t>
  </si>
  <si>
    <t>Precio Ofertado</t>
  </si>
  <si>
    <t>Importe USD Cable a Integrar (*)</t>
  </si>
  <si>
    <t>VN (USD)</t>
  </si>
  <si>
    <t>Fecha de Emisión y Liquidación</t>
  </si>
  <si>
    <t>Tasa Fija a Licitar</t>
  </si>
  <si>
    <t>Precio</t>
  </si>
  <si>
    <t>ON Vista Energy Argentina S.A.U. Clase XXIV</t>
  </si>
  <si>
    <t>Dólar CABLE - 60 meses</t>
  </si>
  <si>
    <t>Dólar Cable - 34,09 meses aprox.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</si>
</sst>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[$-C0A]d\-mmm\-yy;@"/>
    <numFmt numFmtId="165" formatCode="_ * #,##0.00_ ;_ * \-#,##0.00_ ;_ * &quot;-&quot;??_ ;_ @_ "/>
    <numFmt numFmtId="166" formatCode="_ * #,##0_ ;_ * \-#,##0_ ;_ * &quot;-&quot;??_ ;_ @_ "/>
    <numFmt numFmtId="167" formatCode="[$-2C0A]dddd\,\ dd&quot; de &quot;mmmm&quot; de &quot;yyyy;@"/>
    <numFmt numFmtId="168" formatCode="_ &quot;$&quot;\ * #,##0.0_ ;_ &quot;$&quot;\ * \-#,##0.0_ ;_ &quot;$&quot;\ * &quot;-&quot;_ ;_ @_ "/>
    <numFmt numFmtId="169" formatCode="_ &quot;$&quot;\ * #,##0.00_ ;_ &quot;$&quot;\ * \-#,##0.00_ ;_ &quot;$&quot;\ * &quot;-&quot;??_ ;_ @_ "/>
    <numFmt numFmtId="170" formatCode="_ &quot;$&quot;\ * #,##0_ ;_ &quot;$&quot;\ * \-#,##0_ ;_ &quot;$&quot;\ * &quot;-&quot;??_ ;_ @_ "/>
    <numFmt numFmtId="171" formatCode="_ * #,##0.0_ ;_ * \-#,##0.0_ ;_ * &quot;-&quot;?_ ;_ @_ "/>
    <numFmt numFmtId="172" formatCode="_ &quot;$&quot;\ * #,##0_ ;_ &quot;$&quot;\ * \-#,##0_ ;_ &quot;$&quot;\ * &quot;-&quot;_ ;_ @_ "/>
    <numFmt numFmtId="173" formatCode="_ &quot;$&quot;\ * #,##0.00_ ;_ &quot;$&quot;\ * \-#,##0.00_ ;_ &quot;$&quot;\ * &quot;-&quot;_ ;_ @_ "/>
  </numFmts>
  <fonts count="16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  <font>
      <b/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/>
  </cellStyleXfs>
  <cellXfs count="68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164" fontId="4" fillId="0" borderId="0" xfId="0" applyNumberFormat="1" applyFont="1" applyProtection="1">
      <protection hidden="1"/>
    </xf>
    <xf numFmtId="0" fontId="3" fillId="2" borderId="0" xfId="0" applyFont="1" applyFill="1" applyProtection="1">
      <protection hidden="1"/>
    </xf>
    <xf numFmtId="0" fontId="3" fillId="0" borderId="0" xfId="0" applyFont="1"/>
    <xf numFmtId="0" fontId="5" fillId="0" borderId="0" xfId="0" applyFont="1" applyProtection="1">
      <protection hidden="1"/>
    </xf>
    <xf numFmtId="164" fontId="6" fillId="3" borderId="1" xfId="0" applyNumberFormat="1" applyFont="1" applyFill="1" applyBorder="1" applyAlignment="1" applyProtection="1">
      <alignment horizontal="left"/>
      <protection hidden="1"/>
    </xf>
    <xf numFmtId="166" fontId="7" fillId="4" borderId="1" xfId="1" applyNumberFormat="1" applyFont="1" applyFill="1" applyBorder="1" applyProtection="1">
      <protection locked="0" hidden="1"/>
    </xf>
    <xf numFmtId="10" fontId="7" fillId="5" borderId="1" xfId="3" applyNumberFormat="1" applyFont="1" applyFill="1" applyBorder="1" applyProtection="1">
      <protection hidden="1"/>
    </xf>
    <xf numFmtId="10" fontId="8" fillId="2" borderId="0" xfId="3" applyNumberFormat="1" applyFont="1" applyFill="1" applyBorder="1" applyProtection="1">
      <protection hidden="1"/>
    </xf>
    <xf numFmtId="14" fontId="7" fillId="5" borderId="1" xfId="4" applyNumberFormat="1" applyFont="1" applyFill="1" applyBorder="1" applyProtection="1">
      <protection hidden="1"/>
    </xf>
    <xf numFmtId="165" fontId="7" fillId="5" borderId="1" xfId="1" applyFont="1" applyFill="1" applyBorder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0" fillId="0" borderId="0" xfId="0" applyFont="1"/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 vertical="center" wrapTex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6" xfId="5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10" fillId="0" borderId="0" xfId="0" applyNumberFormat="1" applyFont="1" applyProtection="1">
      <protection hidden="1"/>
    </xf>
    <xf numFmtId="10" fontId="3" fillId="0" borderId="0" xfId="0" applyNumberFormat="1" applyFont="1" applyProtection="1">
      <protection hidden="1"/>
    </xf>
    <xf numFmtId="167" fontId="4" fillId="5" borderId="7" xfId="0" applyNumberFormat="1" applyFont="1" applyFill="1" applyBorder="1" applyProtection="1">
      <protection hidden="1"/>
    </xf>
    <xf numFmtId="168" fontId="4" fillId="5" borderId="0" xfId="0" applyNumberFormat="1" applyFont="1" applyFill="1" applyProtection="1">
      <protection hidden="1"/>
    </xf>
    <xf numFmtId="168" fontId="4" fillId="5" borderId="8" xfId="0" applyNumberFormat="1" applyFont="1" applyFill="1" applyBorder="1" applyAlignment="1" applyProtection="1">
      <alignment horizontal="right" indent="1"/>
      <protection hidden="1"/>
    </xf>
    <xf numFmtId="168" fontId="4" fillId="5" borderId="9" xfId="0" applyNumberFormat="1" applyFont="1" applyFill="1" applyBorder="1" applyProtection="1">
      <protection hidden="1"/>
    </xf>
    <xf numFmtId="170" fontId="10" fillId="2" borderId="0" xfId="2" applyNumberFormat="1" applyFont="1" applyFill="1" applyBorder="1" applyAlignment="1" applyProtection="1">
      <alignment horizontal="right" indent="1"/>
      <protection hidden="1"/>
    </xf>
    <xf numFmtId="2" fontId="10" fillId="0" borderId="0" xfId="0" applyNumberFormat="1" applyFont="1" applyAlignment="1">
      <alignment horizontal="right" indent="1"/>
    </xf>
    <xf numFmtId="167" fontId="10" fillId="2" borderId="0" xfId="0" applyNumberFormat="1" applyFont="1" applyFill="1" applyProtection="1">
      <protection hidden="1"/>
    </xf>
    <xf numFmtId="167" fontId="4" fillId="5" borderId="10" xfId="0" applyNumberFormat="1" applyFont="1" applyFill="1" applyBorder="1" applyProtection="1">
      <protection hidden="1"/>
    </xf>
    <xf numFmtId="166" fontId="4" fillId="5" borderId="0" xfId="1" applyNumberFormat="1" applyFont="1" applyFill="1" applyBorder="1" applyAlignment="1" applyProtection="1">
      <alignment horizontal="right" indent="1"/>
      <protection hidden="1"/>
    </xf>
    <xf numFmtId="166" fontId="10" fillId="0" borderId="0" xfId="1" applyNumberFormat="1" applyFont="1" applyAlignment="1" applyProtection="1"/>
    <xf numFmtId="1" fontId="10" fillId="0" borderId="0" xfId="0" applyNumberFormat="1" applyFont="1" applyAlignment="1">
      <alignment horizontal="right" indent="1"/>
    </xf>
    <xf numFmtId="171" fontId="3" fillId="0" borderId="0" xfId="0" applyNumberFormat="1" applyFont="1"/>
    <xf numFmtId="167" fontId="3" fillId="0" borderId="0" xfId="0" applyNumberFormat="1" applyFont="1" applyProtection="1">
      <protection hidden="1"/>
    </xf>
    <xf numFmtId="168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8" fontId="1" fillId="6" borderId="6" xfId="5" applyNumberFormat="1" applyFont="1" applyFill="1" applyBorder="1" applyAlignment="1" applyProtection="1">
      <alignment horizontal="center" vertical="center" wrapText="1"/>
      <protection hidden="1"/>
    </xf>
    <xf numFmtId="166" fontId="3" fillId="0" borderId="13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3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10" fontId="7" fillId="4" borderId="3" xfId="3" applyNumberFormat="1" applyFont="1" applyFill="1" applyBorder="1" applyAlignment="1" applyProtection="1">
      <alignment vertical="center" wrapText="1"/>
      <protection locked="0" hidden="1"/>
    </xf>
    <xf numFmtId="0" fontId="1" fillId="3" borderId="2" xfId="0" applyFont="1" applyFill="1" applyBorder="1" applyProtection="1">
      <protection hidden="1"/>
    </xf>
    <xf numFmtId="172" fontId="4" fillId="5" borderId="0" xfId="0" applyNumberFormat="1" applyFont="1" applyFill="1" applyProtection="1">
      <protection hidden="1"/>
    </xf>
    <xf numFmtId="172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5" fontId="4" fillId="0" borderId="0" xfId="1" applyFont="1" applyProtection="1">
      <protection hidden="1"/>
    </xf>
    <xf numFmtId="16" fontId="3" fillId="0" borderId="0" xfId="0" applyNumberFormat="1" applyFont="1" applyProtection="1">
      <protection hidden="1"/>
    </xf>
    <xf numFmtId="173" fontId="14" fillId="5" borderId="0" xfId="0" applyNumberFormat="1" applyFont="1" applyFill="1" applyProtection="1">
      <protection hidden="1"/>
    </xf>
    <xf numFmtId="0" fontId="1" fillId="3" borderId="2" xfId="0" applyFont="1" applyFill="1" applyBorder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15" fillId="0" borderId="0" xfId="0" applyFont="1"/>
    <xf numFmtId="0" fontId="6" fillId="3" borderId="2" xfId="0" applyFont="1" applyFill="1" applyBorder="1" applyProtection="1">
      <protection hidden="1"/>
    </xf>
    <xf numFmtId="164" fontId="1" fillId="3" borderId="1" xfId="0" applyNumberFormat="1" applyFont="1" applyFill="1" applyBorder="1" applyAlignment="1" applyProtection="1">
      <alignment horizontal="left"/>
      <protection hidden="1"/>
    </xf>
    <xf numFmtId="0" fontId="6" fillId="3" borderId="0" xfId="0" applyFont="1" applyFill="1" applyProtection="1">
      <protection hidden="1"/>
    </xf>
    <xf numFmtId="165" fontId="8" fillId="2" borderId="0" xfId="1" applyFont="1" applyFill="1" applyBorder="1" applyProtection="1">
      <protection hidden="1"/>
    </xf>
    <xf numFmtId="9" fontId="7" fillId="5" borderId="1" xfId="3" applyFont="1" applyFill="1" applyBorder="1" applyProtection="1">
      <protection hidden="1"/>
    </xf>
    <xf numFmtId="0" fontId="13" fillId="5" borderId="0" xfId="0" applyFont="1" applyFill="1" applyAlignment="1" applyProtection="1">
      <alignment horizontal="center" vertical="top" wrapTex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11" xfId="5" applyFont="1" applyFill="1" applyBorder="1" applyAlignment="1" applyProtection="1">
      <alignment horizontal="center" vertical="center" wrapText="1"/>
      <protection hidden="1"/>
    </xf>
    <xf numFmtId="0" fontId="1" fillId="6" borderId="12" xfId="5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</cellXfs>
  <cellStyles count="6">
    <cellStyle name="Millares" xfId="1" builtinId="3"/>
    <cellStyle name="Moneda" xfId="2" builtinId="4"/>
    <cellStyle name="Normal" xfId="0" builtinId="0"/>
    <cellStyle name="Normal 2" xfId="4" xr:uid="{EBC8AC57-EE1D-40F8-A643-B7F21F4937FD}"/>
    <cellStyle name="Normal_Calculadora Garbarino 45_v1" xfId="5" xr:uid="{5AE9708E-5E6C-442A-86E7-23EBBB0BEEDC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1363737</xdr:colOff>
      <xdr:row>2</xdr:row>
      <xdr:rowOff>96763</xdr:rowOff>
    </xdr:from>
    <xdr:to>
      <xdr:col>11</xdr:col>
      <xdr:colOff>1123851</xdr:colOff>
      <xdr:row>4</xdr:row>
      <xdr:rowOff>171410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F2C331-BA55-4046-83F7-48236C242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98137" y="465063"/>
          <a:ext cx="1214262" cy="442947"/>
        </a:xfrm>
        <a:prstGeom prst="rect">
          <a:avLst/>
        </a:prstGeom>
      </xdr:spPr>
    </xdr:pic>
    <xdr:clientData/>
  </xdr:twoCellAnchor>
  <xdr:twoCellAnchor editAs="oneCell">
    <xdr:from>
      <xdr:col>5</xdr:col>
      <xdr:colOff>1</xdr:colOff>
      <xdr:row>1</xdr:row>
      <xdr:rowOff>126999</xdr:rowOff>
    </xdr:from>
    <xdr:to>
      <xdr:col>5</xdr:col>
      <xdr:colOff>1428752</xdr:colOff>
      <xdr:row>5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C54E1BF-EB86-FDFB-0AD3-926EE82B6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9144" y="308428"/>
          <a:ext cx="1428751" cy="662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1363737</xdr:colOff>
      <xdr:row>2</xdr:row>
      <xdr:rowOff>96763</xdr:rowOff>
    </xdr:from>
    <xdr:to>
      <xdr:col>11</xdr:col>
      <xdr:colOff>1123850</xdr:colOff>
      <xdr:row>4</xdr:row>
      <xdr:rowOff>171410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B5D98D-8536-4F41-8C66-8EB27BE52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98137" y="465063"/>
          <a:ext cx="1214263" cy="442947"/>
        </a:xfrm>
        <a:prstGeom prst="rect">
          <a:avLst/>
        </a:prstGeom>
      </xdr:spPr>
    </xdr:pic>
    <xdr:clientData/>
  </xdr:twoCellAnchor>
  <xdr:twoCellAnchor editAs="oneCell">
    <xdr:from>
      <xdr:col>5</xdr:col>
      <xdr:colOff>1</xdr:colOff>
      <xdr:row>1</xdr:row>
      <xdr:rowOff>126999</xdr:rowOff>
    </xdr:from>
    <xdr:to>
      <xdr:col>5</xdr:col>
      <xdr:colOff>1428752</xdr:colOff>
      <xdr:row>5</xdr:row>
      <xdr:rowOff>63500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0F3902-31FA-4220-B48B-873347516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0051" y="311149"/>
          <a:ext cx="1428751" cy="673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D11EE-45F6-4FDB-B331-265CB77B8B02}">
  <sheetPr>
    <pageSetUpPr fitToPage="1"/>
  </sheetPr>
  <dimension ref="A1:Q82"/>
  <sheetViews>
    <sheetView showGridLines="0" tabSelected="1" topLeftCell="E1" zoomScale="80" zoomScaleNormal="80" workbookViewId="0">
      <selection activeCell="G13" sqref="G13"/>
    </sheetView>
  </sheetViews>
  <sheetFormatPr baseColWidth="10" defaultColWidth="9.1796875" defaultRowHeight="0" customHeight="1" zeroHeight="1"/>
  <cols>
    <col min="1" max="1" width="9.1796875" style="5" hidden="1" customWidth="1"/>
    <col min="2" max="2" width="36" style="5" hidden="1" customWidth="1"/>
    <col min="3" max="3" width="15.81640625" style="5" hidden="1" customWidth="1"/>
    <col min="4" max="4" width="36" style="5" hidden="1" customWidth="1"/>
    <col min="5" max="5" width="14.7265625" style="42" customWidth="1"/>
    <col min="6" max="6" width="34.81640625" style="43" customWidth="1"/>
    <col min="7" max="7" width="16.7265625" style="42" bestFit="1" customWidth="1"/>
    <col min="8" max="8" width="13.453125" style="42" bestFit="1" customWidth="1"/>
    <col min="9" max="9" width="14.81640625" style="42" bestFit="1" customWidth="1"/>
    <col min="10" max="10" width="18.453125" style="42" bestFit="1" customWidth="1"/>
    <col min="11" max="11" width="20.81640625" style="42" bestFit="1" customWidth="1"/>
    <col min="12" max="12" width="16.81640625" style="42" customWidth="1"/>
    <col min="13" max="13" width="10.453125" style="44" customWidth="1"/>
    <col min="14" max="16" width="10.453125" style="5" hidden="1" customWidth="1"/>
    <col min="17" max="17" width="10.453125" style="5" customWidth="1"/>
    <col min="18" max="16384" width="9.1796875" style="5"/>
  </cols>
  <sheetData>
    <row r="1" spans="1:17" ht="14.5"/>
    <row r="2" spans="1:17" ht="14.5"/>
    <row r="3" spans="1:17" ht="14.5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7" ht="14.5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7" ht="14.5">
      <c r="A5" s="1"/>
      <c r="B5" s="1"/>
      <c r="C5" s="1"/>
      <c r="D5" s="1"/>
      <c r="E5" s="2"/>
      <c r="F5" s="3"/>
      <c r="G5" s="2"/>
      <c r="H5" s="2"/>
      <c r="I5" s="2"/>
      <c r="J5" s="2"/>
      <c r="K5" s="2"/>
      <c r="L5" s="2"/>
      <c r="M5" s="4"/>
    </row>
    <row r="6" spans="1:17" ht="14.5">
      <c r="A6" s="1"/>
      <c r="B6" s="1"/>
      <c r="C6" s="1"/>
      <c r="D6" s="1"/>
      <c r="E6" s="2"/>
      <c r="F6" s="3"/>
      <c r="G6" s="2"/>
      <c r="H6" s="2"/>
      <c r="I6" s="2"/>
      <c r="J6" s="2"/>
      <c r="K6" s="2"/>
      <c r="L6" s="2"/>
      <c r="M6" s="4"/>
    </row>
    <row r="7" spans="1:17" ht="14.5">
      <c r="A7" s="1"/>
      <c r="B7" s="1"/>
      <c r="C7" s="1"/>
      <c r="D7" s="1"/>
      <c r="E7" s="2"/>
      <c r="F7" s="6" t="s">
        <v>17</v>
      </c>
      <c r="G7" s="6"/>
      <c r="H7" s="6"/>
      <c r="I7" s="6"/>
      <c r="J7" s="2"/>
      <c r="K7" s="2"/>
      <c r="L7" s="2"/>
      <c r="M7" s="4"/>
    </row>
    <row r="8" spans="1:17" ht="14.5">
      <c r="A8" s="1"/>
      <c r="B8" s="1"/>
      <c r="C8" s="1"/>
      <c r="D8" s="1"/>
      <c r="E8" s="2"/>
      <c r="F8" s="6" t="s">
        <v>30</v>
      </c>
      <c r="G8" s="2"/>
      <c r="H8" s="2"/>
      <c r="I8" s="2"/>
      <c r="J8" s="2"/>
      <c r="K8" s="2"/>
      <c r="L8" s="2"/>
      <c r="M8" s="4"/>
    </row>
    <row r="9" spans="1:17" ht="14.5">
      <c r="A9" s="1"/>
      <c r="B9" s="1"/>
      <c r="C9" s="1"/>
      <c r="D9" s="1"/>
      <c r="E9" s="2"/>
      <c r="F9" s="6"/>
      <c r="G9" s="2"/>
      <c r="H9" s="2"/>
      <c r="I9" s="2"/>
      <c r="J9" s="2"/>
      <c r="K9" s="2"/>
      <c r="L9" s="2"/>
      <c r="M9" s="4"/>
    </row>
    <row r="10" spans="1:17" ht="14.5">
      <c r="A10" s="1"/>
      <c r="B10" s="1"/>
      <c r="C10" s="1"/>
      <c r="D10" s="1"/>
      <c r="E10" s="2"/>
      <c r="F10" s="59" t="s">
        <v>18</v>
      </c>
      <c r="G10" s="11">
        <v>45357</v>
      </c>
      <c r="H10" s="2"/>
      <c r="I10" s="2"/>
      <c r="J10" s="2"/>
      <c r="K10" s="2"/>
      <c r="L10" s="2"/>
      <c r="M10" s="4"/>
    </row>
    <row r="11" spans="1:17" ht="14.5">
      <c r="A11" s="1"/>
      <c r="B11" s="1"/>
      <c r="C11" s="1"/>
      <c r="D11" s="1"/>
      <c r="E11" s="2"/>
      <c r="F11" s="59" t="s">
        <v>19</v>
      </c>
      <c r="G11" s="11">
        <v>45415</v>
      </c>
      <c r="H11" s="2"/>
      <c r="I11" s="2"/>
      <c r="J11" s="5"/>
      <c r="K11" s="2"/>
      <c r="L11" s="5"/>
      <c r="M11" s="10"/>
    </row>
    <row r="12" spans="1:17" ht="14.5">
      <c r="A12" s="1"/>
      <c r="B12" s="1"/>
      <c r="C12" s="1"/>
      <c r="D12" s="1"/>
      <c r="E12" s="2"/>
      <c r="F12" s="49" t="s">
        <v>20</v>
      </c>
      <c r="G12" s="9">
        <v>6.5000000000000002E-2</v>
      </c>
      <c r="H12" s="2"/>
      <c r="I12" s="2"/>
      <c r="J12" s="5"/>
      <c r="K12" s="55" t="s">
        <v>0</v>
      </c>
      <c r="L12" s="9">
        <f>+XIRR(L18:L24,F18:F24)</f>
        <v>6.6054442524909954E-2</v>
      </c>
      <c r="M12" s="5"/>
      <c r="N12" s="57"/>
      <c r="Q12" s="57"/>
    </row>
    <row r="13" spans="1:17" ht="14.5">
      <c r="A13" s="1"/>
      <c r="B13" s="53">
        <v>45357</v>
      </c>
      <c r="C13" s="1"/>
      <c r="D13" s="1"/>
      <c r="E13" s="2"/>
      <c r="F13" s="7" t="s">
        <v>21</v>
      </c>
      <c r="G13" s="8">
        <v>100</v>
      </c>
      <c r="H13" s="5"/>
      <c r="I13" s="56"/>
      <c r="J13" s="5"/>
      <c r="K13" s="55" t="s">
        <v>16</v>
      </c>
      <c r="L13" s="9">
        <f>+(((1+L12)^(1/2)-1)*2)</f>
        <v>6.4998249418056986E-2</v>
      </c>
      <c r="M13" s="5"/>
      <c r="N13" s="57"/>
      <c r="Q13" s="57"/>
    </row>
    <row r="14" spans="1:17" ht="14.5">
      <c r="A14" s="1"/>
      <c r="B14" s="1"/>
      <c r="C14" s="1"/>
      <c r="D14" s="1"/>
      <c r="E14" s="2"/>
      <c r="F14" s="58" t="s">
        <v>22</v>
      </c>
      <c r="G14" s="48">
        <v>1.0102</v>
      </c>
      <c r="H14" s="5"/>
      <c r="I14" s="57"/>
      <c r="J14" s="5"/>
      <c r="K14" s="55" t="s">
        <v>1</v>
      </c>
      <c r="L14" s="12">
        <f>+SUM(P19:P24)/(365/12)</f>
        <v>31.435592555231274</v>
      </c>
      <c r="M14" s="13"/>
      <c r="N14" s="14"/>
    </row>
    <row r="15" spans="1:17" ht="14.5">
      <c r="A15" s="1"/>
      <c r="B15" s="1"/>
      <c r="C15" s="1"/>
      <c r="D15" s="1"/>
      <c r="E15" s="2"/>
      <c r="F15" s="60" t="s">
        <v>23</v>
      </c>
      <c r="G15" s="54">
        <f>+G13*G14</f>
        <v>101.02</v>
      </c>
      <c r="I15" s="6"/>
      <c r="J15" s="5"/>
      <c r="K15" s="55" t="s">
        <v>14</v>
      </c>
      <c r="L15" s="12">
        <f>+SUM(P19:P24)/(365)</f>
        <v>2.6196327129359394</v>
      </c>
      <c r="M15" s="13"/>
      <c r="N15" s="14"/>
    </row>
    <row r="16" spans="1:17" ht="15" thickBot="1">
      <c r="A16" s="1"/>
      <c r="B16" s="1"/>
      <c r="C16" s="1"/>
      <c r="D16" s="1"/>
      <c r="E16" s="2"/>
      <c r="F16" s="3"/>
      <c r="G16" s="2"/>
      <c r="H16" s="2"/>
      <c r="I16" s="2"/>
      <c r="J16" s="2"/>
      <c r="K16" s="2"/>
      <c r="L16" s="2"/>
      <c r="M16" s="15"/>
      <c r="N16" s="14"/>
    </row>
    <row r="17" spans="1:16" s="23" customFormat="1" ht="28.5" customHeight="1" thickBot="1">
      <c r="A17" s="16"/>
      <c r="B17" s="17"/>
      <c r="C17" s="17" t="s">
        <v>2</v>
      </c>
      <c r="D17" s="17"/>
      <c r="E17" s="18"/>
      <c r="F17" s="19" t="s">
        <v>3</v>
      </c>
      <c r="G17" s="19" t="s">
        <v>4</v>
      </c>
      <c r="H17" s="19" t="s">
        <v>5</v>
      </c>
      <c r="I17" s="19" t="s">
        <v>6</v>
      </c>
      <c r="J17" s="19" t="s">
        <v>7</v>
      </c>
      <c r="K17" s="19" t="s">
        <v>8</v>
      </c>
      <c r="L17" s="20" t="s">
        <v>9</v>
      </c>
      <c r="M17" s="21"/>
      <c r="N17" s="22" t="s">
        <v>10</v>
      </c>
      <c r="O17" s="22" t="s">
        <v>11</v>
      </c>
      <c r="P17" s="22" t="s">
        <v>12</v>
      </c>
    </row>
    <row r="18" spans="1:16" ht="14.5">
      <c r="A18" s="1"/>
      <c r="B18" s="24">
        <f>+D18</f>
        <v>45357</v>
      </c>
      <c r="C18" s="25">
        <f t="shared" ref="C18:C24" si="0">+$G$12</f>
        <v>6.5000000000000002E-2</v>
      </c>
      <c r="D18" s="24">
        <f>+G10</f>
        <v>45357</v>
      </c>
      <c r="F18" s="26">
        <v>45415</v>
      </c>
      <c r="G18" s="50">
        <f>+G13</f>
        <v>100</v>
      </c>
      <c r="H18" s="28"/>
      <c r="I18" s="27"/>
      <c r="J18" s="50"/>
      <c r="K18" s="50">
        <f t="shared" ref="K18:K21" si="1">+G18-J18</f>
        <v>100</v>
      </c>
      <c r="L18" s="29">
        <f>-G18*G14</f>
        <v>-101.02</v>
      </c>
      <c r="M18" s="30"/>
      <c r="N18" s="31"/>
      <c r="O18" s="31"/>
    </row>
    <row r="19" spans="1:16" ht="14.5">
      <c r="A19" s="1"/>
      <c r="B19" s="24">
        <v>45541</v>
      </c>
      <c r="C19" s="25">
        <f t="shared" si="0"/>
        <v>6.5000000000000002E-2</v>
      </c>
      <c r="D19" s="32">
        <f t="shared" ref="D19" si="2">+B19</f>
        <v>45541</v>
      </c>
      <c r="E19" s="52"/>
      <c r="F19" s="33">
        <f t="shared" ref="F19:F24" si="3">+D19</f>
        <v>45541</v>
      </c>
      <c r="G19" s="50">
        <f>K18</f>
        <v>100</v>
      </c>
      <c r="H19" s="34">
        <f>B19-B13</f>
        <v>184</v>
      </c>
      <c r="I19" s="27">
        <f t="shared" ref="I19:I24" si="4">G19*$G$12*(H19/365)</f>
        <v>3.2767123287671236</v>
      </c>
      <c r="J19" s="50">
        <v>0</v>
      </c>
      <c r="K19" s="50">
        <f t="shared" si="1"/>
        <v>100</v>
      </c>
      <c r="L19" s="29">
        <f t="shared" ref="L19:L24" si="5">+I19+J19</f>
        <v>3.2767123287671236</v>
      </c>
      <c r="M19" s="30"/>
      <c r="N19" s="35">
        <f t="shared" ref="N19:N24" si="6">+L19/(1+$L$12)^((O19)/365)</f>
        <v>3.2051526593503388</v>
      </c>
      <c r="O19" s="36">
        <f t="shared" ref="O19:O24" si="7">+F19-$F$18</f>
        <v>126</v>
      </c>
      <c r="P19" s="37">
        <f t="shared" ref="P19:P24" si="8">+(N19/$N$25)*O19</f>
        <v>3.9977156253726265</v>
      </c>
    </row>
    <row r="20" spans="1:16" ht="14.5">
      <c r="A20" s="1"/>
      <c r="B20" s="24">
        <v>45722</v>
      </c>
      <c r="C20" s="25">
        <f t="shared" si="0"/>
        <v>6.5000000000000002E-2</v>
      </c>
      <c r="D20" s="32">
        <f>+B20</f>
        <v>45722</v>
      </c>
      <c r="E20" s="52"/>
      <c r="F20" s="33">
        <f t="shared" si="3"/>
        <v>45722</v>
      </c>
      <c r="G20" s="50">
        <f t="shared" ref="G20:G24" si="9">K19</f>
        <v>100</v>
      </c>
      <c r="H20" s="34">
        <f>B20-B19</f>
        <v>181</v>
      </c>
      <c r="I20" s="27">
        <f t="shared" si="4"/>
        <v>3.2232876712328768</v>
      </c>
      <c r="J20" s="50">
        <v>0</v>
      </c>
      <c r="K20" s="50">
        <f t="shared" si="1"/>
        <v>100</v>
      </c>
      <c r="L20" s="29">
        <f t="shared" si="5"/>
        <v>3.2232876712328768</v>
      </c>
      <c r="M20" s="30"/>
      <c r="N20" s="35">
        <f t="shared" si="6"/>
        <v>3.0544564757576076</v>
      </c>
      <c r="O20" s="36">
        <f t="shared" si="7"/>
        <v>307</v>
      </c>
      <c r="P20" s="37">
        <f t="shared" si="8"/>
        <v>9.2824998219515642</v>
      </c>
    </row>
    <row r="21" spans="1:16" ht="14.5">
      <c r="A21" s="1"/>
      <c r="B21" s="24">
        <v>45906</v>
      </c>
      <c r="C21" s="25">
        <f t="shared" si="0"/>
        <v>6.5000000000000002E-2</v>
      </c>
      <c r="D21" s="32">
        <f>+B21+2</f>
        <v>45908</v>
      </c>
      <c r="E21" s="52"/>
      <c r="F21" s="33">
        <f t="shared" si="3"/>
        <v>45908</v>
      </c>
      <c r="G21" s="50">
        <f t="shared" si="9"/>
        <v>100</v>
      </c>
      <c r="H21" s="34">
        <f>B21-B20</f>
        <v>184</v>
      </c>
      <c r="I21" s="27">
        <f t="shared" si="4"/>
        <v>3.2767123287671236</v>
      </c>
      <c r="J21" s="50">
        <v>0</v>
      </c>
      <c r="K21" s="50">
        <f t="shared" si="1"/>
        <v>100</v>
      </c>
      <c r="L21" s="29">
        <f t="shared" si="5"/>
        <v>3.2767123287671236</v>
      </c>
      <c r="M21" s="30"/>
      <c r="N21" s="35">
        <f t="shared" si="6"/>
        <v>3.0055026787881189</v>
      </c>
      <c r="O21" s="36">
        <f t="shared" si="7"/>
        <v>493</v>
      </c>
      <c r="P21" s="37">
        <f t="shared" si="8"/>
        <v>14.667519412910318</v>
      </c>
    </row>
    <row r="22" spans="1:16" ht="14.5">
      <c r="A22" s="1"/>
      <c r="B22" s="24">
        <v>46087</v>
      </c>
      <c r="C22" s="25">
        <f t="shared" si="0"/>
        <v>6.5000000000000002E-2</v>
      </c>
      <c r="D22" s="32">
        <f>+B22</f>
        <v>46087</v>
      </c>
      <c r="E22" s="52"/>
      <c r="F22" s="33">
        <f t="shared" si="3"/>
        <v>46087</v>
      </c>
      <c r="G22" s="50">
        <f t="shared" si="9"/>
        <v>100</v>
      </c>
      <c r="H22" s="34">
        <f>B22-B21</f>
        <v>181</v>
      </c>
      <c r="I22" s="27">
        <f t="shared" si="4"/>
        <v>3.2232876712328768</v>
      </c>
      <c r="J22" s="50">
        <v>0</v>
      </c>
      <c r="K22" s="50">
        <f t="shared" ref="K22:K24" si="10">+G22-J22</f>
        <v>100</v>
      </c>
      <c r="L22" s="29">
        <f t="shared" si="5"/>
        <v>3.2232876712328768</v>
      </c>
      <c r="M22" s="30"/>
      <c r="N22" s="35">
        <f t="shared" si="6"/>
        <v>2.8651974551348829</v>
      </c>
      <c r="O22" s="36">
        <f t="shared" si="7"/>
        <v>672</v>
      </c>
      <c r="P22" s="37">
        <f t="shared" si="8"/>
        <v>19.05971765433026</v>
      </c>
    </row>
    <row r="23" spans="1:16" ht="14.5">
      <c r="A23" s="1"/>
      <c r="B23" s="24">
        <v>46271</v>
      </c>
      <c r="C23" s="25">
        <f t="shared" si="0"/>
        <v>6.5000000000000002E-2</v>
      </c>
      <c r="D23" s="32">
        <f>+B23+1</f>
        <v>46272</v>
      </c>
      <c r="E23" s="52"/>
      <c r="F23" s="33">
        <f t="shared" si="3"/>
        <v>46272</v>
      </c>
      <c r="G23" s="50">
        <f t="shared" si="9"/>
        <v>100</v>
      </c>
      <c r="H23" s="34">
        <f>B23-B22</f>
        <v>184</v>
      </c>
      <c r="I23" s="27">
        <f t="shared" si="4"/>
        <v>3.2767123287671236</v>
      </c>
      <c r="J23" s="50">
        <v>0</v>
      </c>
      <c r="K23" s="50">
        <f t="shared" si="10"/>
        <v>100</v>
      </c>
      <c r="L23" s="29">
        <f t="shared" si="5"/>
        <v>3.2767123287671236</v>
      </c>
      <c r="M23" s="30"/>
      <c r="N23" s="35">
        <f t="shared" si="6"/>
        <v>2.8197710211702063</v>
      </c>
      <c r="O23" s="36">
        <f t="shared" si="7"/>
        <v>857</v>
      </c>
      <c r="P23" s="37">
        <f t="shared" si="8"/>
        <v>23.921438819709913</v>
      </c>
    </row>
    <row r="24" spans="1:16" ht="15" thickBot="1">
      <c r="A24" s="1"/>
      <c r="B24" s="24">
        <v>46452</v>
      </c>
      <c r="C24" s="25">
        <f t="shared" si="0"/>
        <v>6.5000000000000002E-2</v>
      </c>
      <c r="D24" s="32">
        <f>+B24+2</f>
        <v>46454</v>
      </c>
      <c r="E24" s="52"/>
      <c r="F24" s="33">
        <f t="shared" si="3"/>
        <v>46454</v>
      </c>
      <c r="G24" s="50">
        <f t="shared" si="9"/>
        <v>100</v>
      </c>
      <c r="H24" s="34">
        <f>D24-B23</f>
        <v>183</v>
      </c>
      <c r="I24" s="27">
        <f t="shared" si="4"/>
        <v>3.2589041095890412</v>
      </c>
      <c r="J24" s="50">
        <f>G24</f>
        <v>100</v>
      </c>
      <c r="K24" s="50">
        <f t="shared" si="10"/>
        <v>0</v>
      </c>
      <c r="L24" s="29">
        <f t="shared" si="5"/>
        <v>103.25890410958904</v>
      </c>
      <c r="M24" s="30"/>
      <c r="N24" s="35">
        <f t="shared" si="6"/>
        <v>86.06992036092069</v>
      </c>
      <c r="O24" s="36">
        <f t="shared" si="7"/>
        <v>1039</v>
      </c>
      <c r="P24" s="37">
        <f t="shared" si="8"/>
        <v>885.23704888734324</v>
      </c>
    </row>
    <row r="25" spans="1:16" ht="15" thickBot="1">
      <c r="A25" s="1"/>
      <c r="B25" s="38"/>
      <c r="C25" s="25"/>
      <c r="D25" s="1"/>
      <c r="E25" s="52"/>
      <c r="F25" s="64" t="s">
        <v>13</v>
      </c>
      <c r="G25" s="65"/>
      <c r="H25" s="66"/>
      <c r="I25" s="39">
        <f>SUM(I19:I24)</f>
        <v>19.535616438356165</v>
      </c>
      <c r="J25" s="51">
        <f>SUM(J19:J24)</f>
        <v>100</v>
      </c>
      <c r="K25" s="51"/>
      <c r="L25" s="40">
        <f>SUM(L18:L24)</f>
        <v>18.515616438356162</v>
      </c>
      <c r="M25" s="4"/>
      <c r="N25" s="41">
        <f>SUM(N19:N24)</f>
        <v>101.02000065112185</v>
      </c>
    </row>
    <row r="26" spans="1:16" ht="15" customHeight="1">
      <c r="E26" s="52"/>
    </row>
    <row r="27" spans="1:16" s="45" customFormat="1" ht="37.5" customHeight="1">
      <c r="E27" s="46"/>
      <c r="F27" s="63" t="s">
        <v>15</v>
      </c>
      <c r="G27" s="63"/>
      <c r="H27" s="63"/>
      <c r="I27" s="63"/>
      <c r="J27" s="63"/>
      <c r="K27" s="63"/>
      <c r="L27" s="63"/>
      <c r="M27" s="47"/>
    </row>
    <row r="28" spans="1:16" ht="15" customHeight="1"/>
    <row r="29" spans="1:16" ht="15" customHeight="1">
      <c r="F29" s="57"/>
    </row>
    <row r="30" spans="1:16" ht="15" customHeight="1"/>
    <row r="31" spans="1:16" ht="15" customHeight="1"/>
    <row r="32" spans="1:1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</sheetData>
  <sheetProtection algorithmName="SHA-512" hashValue="3454kR+jtCo8J/82tkqp0JrT0nilza3nDybHoQns4msw45zzpVPFZZPrVbu9HtGL3bAR2ZcK7j7jgLmD9M3DdA==" saltValue="VlNoYu7MvwbAkVSqieOxkQ==" spinCount="100000" sheet="1" selectLockedCells="1"/>
  <mergeCells count="2">
    <mergeCell ref="F27:L27"/>
    <mergeCell ref="F25:H25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ignoredErrors>
    <ignoredError sqref="G1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9E415-D155-451D-8D83-4C8B09740055}">
  <sheetPr>
    <pageSetUpPr fitToPage="1"/>
  </sheetPr>
  <dimension ref="A1:Q84"/>
  <sheetViews>
    <sheetView showGridLines="0" topLeftCell="A3" zoomScale="85" zoomScaleNormal="85" workbookViewId="0">
      <selection activeCell="G10" sqref="G10"/>
    </sheetView>
  </sheetViews>
  <sheetFormatPr baseColWidth="10" defaultColWidth="9.1796875" defaultRowHeight="0" customHeight="1" zeroHeight="1"/>
  <cols>
    <col min="1" max="1" width="9.1796875" style="5" customWidth="1"/>
    <col min="2" max="2" width="36" style="5" hidden="1" customWidth="1"/>
    <col min="3" max="3" width="15.81640625" style="5" hidden="1" customWidth="1"/>
    <col min="4" max="4" width="36" style="5" hidden="1" customWidth="1"/>
    <col min="5" max="5" width="14.7265625" style="42" customWidth="1"/>
    <col min="6" max="6" width="34.81640625" style="43" customWidth="1"/>
    <col min="7" max="7" width="16.7265625" style="42" bestFit="1" customWidth="1"/>
    <col min="8" max="8" width="13.453125" style="42" bestFit="1" customWidth="1"/>
    <col min="9" max="9" width="14.81640625" style="42" bestFit="1" customWidth="1"/>
    <col min="10" max="10" width="18.453125" style="42" bestFit="1" customWidth="1"/>
    <col min="11" max="11" width="20.81640625" style="42" bestFit="1" customWidth="1"/>
    <col min="12" max="12" width="16.81640625" style="42" customWidth="1"/>
    <col min="13" max="13" width="10.453125" style="44" customWidth="1"/>
    <col min="14" max="17" width="10.453125" style="5" hidden="1" customWidth="1"/>
    <col min="18" max="16384" width="9.1796875" style="5"/>
  </cols>
  <sheetData>
    <row r="1" spans="1:16" ht="14.5"/>
    <row r="2" spans="1:16" ht="14.5"/>
    <row r="3" spans="1:16" ht="14.5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6" ht="14.5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6" ht="14.5">
      <c r="A5" s="1"/>
      <c r="B5" s="1"/>
      <c r="C5" s="1"/>
      <c r="D5" s="1"/>
      <c r="E5" s="2"/>
      <c r="F5" s="3"/>
      <c r="G5" s="2"/>
      <c r="H5" s="2"/>
      <c r="I5" s="2"/>
      <c r="J5" s="2"/>
      <c r="K5" s="2"/>
      <c r="L5" s="2"/>
      <c r="M5" s="4"/>
    </row>
    <row r="6" spans="1:16" ht="14.5">
      <c r="A6" s="1"/>
      <c r="B6" s="1"/>
      <c r="C6" s="1"/>
      <c r="D6" s="1"/>
      <c r="E6" s="2"/>
      <c r="F6" s="3"/>
      <c r="G6" s="2"/>
      <c r="H6" s="2"/>
      <c r="I6" s="2"/>
      <c r="J6" s="2"/>
      <c r="K6" s="2"/>
      <c r="L6" s="2"/>
      <c r="M6" s="4"/>
    </row>
    <row r="7" spans="1:16" ht="14.5">
      <c r="A7" s="1"/>
      <c r="B7" s="1"/>
      <c r="C7" s="1"/>
      <c r="D7" s="1"/>
      <c r="E7" s="2"/>
      <c r="F7" s="6" t="s">
        <v>28</v>
      </c>
      <c r="G7" s="6"/>
      <c r="H7" s="6"/>
      <c r="I7" s="6"/>
      <c r="J7" s="2"/>
      <c r="K7" s="2"/>
      <c r="L7" s="2"/>
      <c r="M7" s="4"/>
    </row>
    <row r="8" spans="1:16" ht="14.5">
      <c r="A8" s="1"/>
      <c r="B8" s="1"/>
      <c r="C8" s="1"/>
      <c r="D8" s="1"/>
      <c r="E8" s="2"/>
      <c r="F8" s="6" t="s">
        <v>29</v>
      </c>
      <c r="G8" s="2"/>
      <c r="H8" s="2"/>
      <c r="I8" s="2"/>
      <c r="J8" s="2"/>
      <c r="K8" s="2"/>
      <c r="L8" s="2"/>
      <c r="M8" s="4"/>
    </row>
    <row r="9" spans="1:16" ht="10.5" customHeight="1">
      <c r="A9" s="1"/>
      <c r="B9" s="1"/>
      <c r="C9" s="1"/>
      <c r="D9" s="1"/>
      <c r="E9" s="2"/>
      <c r="F9" s="3"/>
      <c r="G9" s="2"/>
      <c r="H9" s="2"/>
      <c r="I9" s="2"/>
      <c r="J9" s="2"/>
      <c r="K9" s="2"/>
      <c r="L9" s="2"/>
      <c r="M9" s="4"/>
    </row>
    <row r="10" spans="1:16" ht="14.5">
      <c r="A10" s="1"/>
      <c r="B10" s="1"/>
      <c r="C10" s="1"/>
      <c r="D10" s="1"/>
      <c r="E10" s="2"/>
      <c r="F10" s="7" t="s">
        <v>24</v>
      </c>
      <c r="G10" s="8">
        <v>100</v>
      </c>
      <c r="H10" s="2"/>
      <c r="I10" s="2"/>
      <c r="J10" s="67" t="s">
        <v>0</v>
      </c>
      <c r="K10" s="67"/>
      <c r="L10" s="9">
        <f>+XIRR(L16:L26,F16:F26)</f>
        <v>8.1589028239250197E-2</v>
      </c>
      <c r="M10" s="10"/>
    </row>
    <row r="11" spans="1:16" ht="14.5">
      <c r="A11" s="1"/>
      <c r="B11" s="1"/>
      <c r="C11" s="1"/>
      <c r="D11" s="1"/>
      <c r="E11" s="2"/>
      <c r="F11" s="7" t="s">
        <v>25</v>
      </c>
      <c r="G11" s="11">
        <v>45415</v>
      </c>
      <c r="H11" s="2"/>
      <c r="I11" s="2"/>
      <c r="J11" s="67" t="s">
        <v>16</v>
      </c>
      <c r="K11" s="67"/>
      <c r="L11" s="9">
        <f>+(((1+L10)^(1/2)-1)*2)</f>
        <v>7.9989450203294066E-2</v>
      </c>
      <c r="M11" s="61"/>
    </row>
    <row r="12" spans="1:16" ht="14.5">
      <c r="A12" s="1"/>
      <c r="B12" s="1"/>
      <c r="C12" s="1"/>
      <c r="D12" s="1"/>
      <c r="E12" s="2"/>
      <c r="F12" s="49" t="s">
        <v>26</v>
      </c>
      <c r="G12" s="48">
        <v>0.08</v>
      </c>
      <c r="H12" s="2"/>
      <c r="I12" s="2"/>
      <c r="J12" s="67" t="s">
        <v>1</v>
      </c>
      <c r="K12" s="67"/>
      <c r="L12" s="12">
        <f>+SUM(P17:P26)/(365/12)</f>
        <v>44.161452764923148</v>
      </c>
      <c r="M12" s="61"/>
    </row>
    <row r="13" spans="1:16" ht="14.5">
      <c r="A13" s="1"/>
      <c r="B13" s="1"/>
      <c r="C13" s="1"/>
      <c r="D13" s="1"/>
      <c r="E13" s="2"/>
      <c r="F13" s="49" t="s">
        <v>27</v>
      </c>
      <c r="G13" s="62">
        <v>1.0000000031399316</v>
      </c>
      <c r="I13" s="6"/>
      <c r="J13" s="67" t="s">
        <v>14</v>
      </c>
      <c r="K13" s="67"/>
      <c r="L13" s="12">
        <f>+SUM(P17:P26)/(365)</f>
        <v>3.6801210637435959</v>
      </c>
      <c r="M13" s="13"/>
      <c r="N13" s="14"/>
    </row>
    <row r="14" spans="1:16" ht="15" thickBot="1">
      <c r="A14" s="1"/>
      <c r="B14" s="1"/>
      <c r="C14" s="1"/>
      <c r="D14" s="1"/>
      <c r="E14" s="2"/>
      <c r="F14" s="3"/>
      <c r="G14" s="2"/>
      <c r="H14" s="2"/>
      <c r="I14" s="2"/>
      <c r="J14" s="2"/>
      <c r="K14" s="2"/>
      <c r="L14" s="2"/>
      <c r="M14" s="15"/>
      <c r="N14" s="14"/>
    </row>
    <row r="15" spans="1:16" s="23" customFormat="1" ht="28.5" customHeight="1" thickBot="1">
      <c r="A15" s="16"/>
      <c r="B15" s="17"/>
      <c r="C15" s="17" t="s">
        <v>2</v>
      </c>
      <c r="D15" s="17"/>
      <c r="E15" s="18"/>
      <c r="F15" s="19" t="s">
        <v>3</v>
      </c>
      <c r="G15" s="19" t="s">
        <v>4</v>
      </c>
      <c r="H15" s="19" t="s">
        <v>5</v>
      </c>
      <c r="I15" s="19" t="s">
        <v>6</v>
      </c>
      <c r="J15" s="19" t="s">
        <v>7</v>
      </c>
      <c r="K15" s="19" t="s">
        <v>8</v>
      </c>
      <c r="L15" s="20" t="s">
        <v>9</v>
      </c>
      <c r="M15" s="21"/>
      <c r="N15" s="22" t="s">
        <v>10</v>
      </c>
      <c r="O15" s="22" t="s">
        <v>11</v>
      </c>
      <c r="P15" s="22" t="s">
        <v>12</v>
      </c>
    </row>
    <row r="16" spans="1:16" ht="14.5">
      <c r="A16" s="1"/>
      <c r="B16" s="24">
        <f>+D16</f>
        <v>45415</v>
      </c>
      <c r="C16" s="25">
        <f>+$G$12</f>
        <v>0.08</v>
      </c>
      <c r="D16" s="24">
        <f>+G11</f>
        <v>45415</v>
      </c>
      <c r="F16" s="26">
        <f>+G11</f>
        <v>45415</v>
      </c>
      <c r="G16" s="50">
        <f>+G10</f>
        <v>100</v>
      </c>
      <c r="H16" s="28"/>
      <c r="I16" s="27"/>
      <c r="J16" s="50"/>
      <c r="K16" s="50">
        <f t="shared" ref="K16:K22" si="0">+G16-J16</f>
        <v>100</v>
      </c>
      <c r="L16" s="29">
        <f>-G16*G13</f>
        <v>-100.00000031399317</v>
      </c>
      <c r="M16" s="30"/>
      <c r="N16" s="31"/>
      <c r="O16" s="31"/>
    </row>
    <row r="17" spans="1:16" ht="14.5">
      <c r="A17" s="1"/>
      <c r="B17" s="24">
        <v>45599</v>
      </c>
      <c r="C17" s="25">
        <f t="shared" ref="C17:C26" si="1">+$G$12</f>
        <v>0.08</v>
      </c>
      <c r="D17" s="32">
        <f>+B17+1</f>
        <v>45600</v>
      </c>
      <c r="E17" s="52"/>
      <c r="F17" s="33">
        <f t="shared" ref="F17:F26" si="2">+D17</f>
        <v>45600</v>
      </c>
      <c r="G17" s="50">
        <f>K16</f>
        <v>100</v>
      </c>
      <c r="H17" s="34">
        <f>B17-B16</f>
        <v>184</v>
      </c>
      <c r="I17" s="27">
        <f>G17*$G$12*(H17/365)</f>
        <v>4.0328767123287674</v>
      </c>
      <c r="J17" s="50">
        <v>0</v>
      </c>
      <c r="K17" s="50">
        <f t="shared" si="0"/>
        <v>100</v>
      </c>
      <c r="L17" s="29">
        <f t="shared" ref="L17:L26" si="3">+I17+J17</f>
        <v>4.0328767123287674</v>
      </c>
      <c r="M17" s="30"/>
      <c r="N17" s="35">
        <f>+L17/(1+$L$10)^((O17)/365)</f>
        <v>3.8757031484959557</v>
      </c>
      <c r="O17" s="36">
        <f t="shared" ref="O17:O26" si="4">+F17-$F$16</f>
        <v>185</v>
      </c>
      <c r="P17" s="37">
        <f>+(N17/$N$27)*O17</f>
        <v>7.1700507701382579</v>
      </c>
    </row>
    <row r="18" spans="1:16" ht="14.5">
      <c r="A18" s="1"/>
      <c r="B18" s="24">
        <v>45780</v>
      </c>
      <c r="C18" s="25">
        <f t="shared" si="1"/>
        <v>0.08</v>
      </c>
      <c r="D18" s="32">
        <f>+B18+2</f>
        <v>45782</v>
      </c>
      <c r="E18" s="52"/>
      <c r="F18" s="33">
        <f t="shared" si="2"/>
        <v>45782</v>
      </c>
      <c r="G18" s="50">
        <f t="shared" ref="G18:G22" si="5">K17</f>
        <v>100</v>
      </c>
      <c r="H18" s="34">
        <f t="shared" ref="H18:H21" si="6">B18-B17</f>
        <v>181</v>
      </c>
      <c r="I18" s="27">
        <f t="shared" ref="I18:I26" si="7">G18*$G$12*(H18/365)</f>
        <v>3.967123287671233</v>
      </c>
      <c r="J18" s="50">
        <v>0</v>
      </c>
      <c r="K18" s="50">
        <f t="shared" si="0"/>
        <v>100</v>
      </c>
      <c r="L18" s="29">
        <f t="shared" si="3"/>
        <v>3.967123287671233</v>
      </c>
      <c r="M18" s="30"/>
      <c r="N18" s="35">
        <f t="shared" ref="N18:N26" si="8">+L18/(1+$L$10)^((O18)/365)</f>
        <v>3.6662897253444449</v>
      </c>
      <c r="O18" s="36">
        <f t="shared" si="4"/>
        <v>367</v>
      </c>
      <c r="P18" s="37">
        <f t="shared" ref="P18:P26" si="9">+(N18/$N$27)*O18</f>
        <v>13.455283189590933</v>
      </c>
    </row>
    <row r="19" spans="1:16" ht="14.5">
      <c r="A19" s="1"/>
      <c r="B19" s="24">
        <v>45964</v>
      </c>
      <c r="C19" s="25">
        <f t="shared" si="1"/>
        <v>0.08</v>
      </c>
      <c r="D19" s="32">
        <f>+B19</f>
        <v>45964</v>
      </c>
      <c r="E19" s="52"/>
      <c r="F19" s="33">
        <f t="shared" si="2"/>
        <v>45964</v>
      </c>
      <c r="G19" s="50">
        <f t="shared" si="5"/>
        <v>100</v>
      </c>
      <c r="H19" s="34">
        <f t="shared" si="6"/>
        <v>184</v>
      </c>
      <c r="I19" s="27">
        <f t="shared" si="7"/>
        <v>4.0328767123287674</v>
      </c>
      <c r="J19" s="50">
        <v>0</v>
      </c>
      <c r="K19" s="50">
        <f t="shared" si="0"/>
        <v>100</v>
      </c>
      <c r="L19" s="29">
        <f t="shared" si="3"/>
        <v>4.0328767123287674</v>
      </c>
      <c r="M19" s="30"/>
      <c r="N19" s="35">
        <f t="shared" si="8"/>
        <v>3.5841118472294071</v>
      </c>
      <c r="O19" s="36">
        <f t="shared" si="4"/>
        <v>549</v>
      </c>
      <c r="P19" s="37">
        <f t="shared" si="9"/>
        <v>19.676773891507555</v>
      </c>
    </row>
    <row r="20" spans="1:16" ht="14.5">
      <c r="A20" s="1"/>
      <c r="B20" s="24">
        <v>46145</v>
      </c>
      <c r="C20" s="25">
        <f t="shared" si="1"/>
        <v>0.08</v>
      </c>
      <c r="D20" s="32">
        <f>+B20+1</f>
        <v>46146</v>
      </c>
      <c r="E20" s="52"/>
      <c r="F20" s="33">
        <f t="shared" si="2"/>
        <v>46146</v>
      </c>
      <c r="G20" s="50">
        <f t="shared" si="5"/>
        <v>100</v>
      </c>
      <c r="H20" s="34">
        <f t="shared" si="6"/>
        <v>181</v>
      </c>
      <c r="I20" s="27">
        <f t="shared" si="7"/>
        <v>3.967123287671233</v>
      </c>
      <c r="J20" s="50">
        <v>0</v>
      </c>
      <c r="K20" s="50">
        <f t="shared" si="0"/>
        <v>100</v>
      </c>
      <c r="L20" s="29">
        <f t="shared" si="3"/>
        <v>3.967123287671233</v>
      </c>
      <c r="M20" s="30"/>
      <c r="N20" s="35">
        <f t="shared" si="8"/>
        <v>3.3904537929025516</v>
      </c>
      <c r="O20" s="36">
        <f t="shared" si="4"/>
        <v>731</v>
      </c>
      <c r="P20" s="37">
        <f t="shared" si="9"/>
        <v>24.78421703745731</v>
      </c>
    </row>
    <row r="21" spans="1:16" ht="14.5">
      <c r="A21" s="1"/>
      <c r="B21" s="24">
        <v>46329</v>
      </c>
      <c r="C21" s="25">
        <f t="shared" si="1"/>
        <v>0.08</v>
      </c>
      <c r="D21" s="32">
        <f>+B21</f>
        <v>46329</v>
      </c>
      <c r="E21" s="52"/>
      <c r="F21" s="33">
        <f t="shared" si="2"/>
        <v>46329</v>
      </c>
      <c r="G21" s="50">
        <f t="shared" si="5"/>
        <v>100</v>
      </c>
      <c r="H21" s="34">
        <f t="shared" si="6"/>
        <v>184</v>
      </c>
      <c r="I21" s="27">
        <f t="shared" si="7"/>
        <v>4.0328767123287674</v>
      </c>
      <c r="J21" s="50">
        <v>0</v>
      </c>
      <c r="K21" s="50">
        <f t="shared" si="0"/>
        <v>100</v>
      </c>
      <c r="L21" s="29">
        <f t="shared" si="3"/>
        <v>4.0328767123287674</v>
      </c>
      <c r="M21" s="30"/>
      <c r="N21" s="35">
        <f t="shared" si="8"/>
        <v>3.3137464911825938</v>
      </c>
      <c r="O21" s="36">
        <f t="shared" si="4"/>
        <v>914</v>
      </c>
      <c r="P21" s="37">
        <f t="shared" si="9"/>
        <v>30.287642698855848</v>
      </c>
    </row>
    <row r="22" spans="1:16" ht="14.5">
      <c r="A22" s="1"/>
      <c r="B22" s="24">
        <v>46510</v>
      </c>
      <c r="C22" s="25">
        <f t="shared" si="1"/>
        <v>0.08</v>
      </c>
      <c r="D22" s="32">
        <f>+B22</f>
        <v>46510</v>
      </c>
      <c r="E22" s="52"/>
      <c r="F22" s="33">
        <f t="shared" si="2"/>
        <v>46510</v>
      </c>
      <c r="G22" s="50">
        <f t="shared" si="5"/>
        <v>100</v>
      </c>
      <c r="H22" s="34">
        <f>D22-D21</f>
        <v>181</v>
      </c>
      <c r="I22" s="27">
        <f t="shared" si="7"/>
        <v>3.967123287671233</v>
      </c>
      <c r="J22" s="50">
        <v>0</v>
      </c>
      <c r="K22" s="50">
        <f t="shared" si="0"/>
        <v>100</v>
      </c>
      <c r="L22" s="29">
        <f t="shared" si="3"/>
        <v>3.967123287671233</v>
      </c>
      <c r="M22" s="30"/>
      <c r="N22" s="35">
        <f t="shared" si="8"/>
        <v>3.1353705743283387</v>
      </c>
      <c r="O22" s="36">
        <f t="shared" si="4"/>
        <v>1095</v>
      </c>
      <c r="P22" s="37">
        <f t="shared" si="9"/>
        <v>34.332307527553795</v>
      </c>
    </row>
    <row r="23" spans="1:16" ht="14.5">
      <c r="A23" s="1"/>
      <c r="B23" s="24">
        <v>46694</v>
      </c>
      <c r="C23" s="25">
        <f>+$G$12</f>
        <v>0.08</v>
      </c>
      <c r="D23" s="24">
        <f>B23</f>
        <v>46694</v>
      </c>
      <c r="F23" s="33">
        <f t="shared" si="2"/>
        <v>46694</v>
      </c>
      <c r="G23" s="50">
        <f>+G17</f>
        <v>100</v>
      </c>
      <c r="H23" s="34">
        <f>D23-D22</f>
        <v>184</v>
      </c>
      <c r="I23" s="27">
        <f t="shared" si="7"/>
        <v>4.0328767123287674</v>
      </c>
      <c r="J23" s="50">
        <f>G10*0.25</f>
        <v>25</v>
      </c>
      <c r="K23" s="50">
        <f t="shared" ref="K23:K26" si="10">+G23-J23</f>
        <v>75</v>
      </c>
      <c r="L23" s="29">
        <f t="shared" si="3"/>
        <v>29.032876712328768</v>
      </c>
      <c r="M23" s="30"/>
      <c r="N23" s="35">
        <f t="shared" si="8"/>
        <v>22.056273180105453</v>
      </c>
      <c r="O23" s="36">
        <f t="shared" si="4"/>
        <v>1279</v>
      </c>
      <c r="P23" s="37">
        <f t="shared" si="9"/>
        <v>282.09973182617279</v>
      </c>
    </row>
    <row r="24" spans="1:16" ht="14.5">
      <c r="A24" s="1"/>
      <c r="B24" s="24">
        <v>46876</v>
      </c>
      <c r="C24" s="25">
        <f t="shared" si="1"/>
        <v>0.08</v>
      </c>
      <c r="D24" s="32">
        <f t="shared" ref="D24" si="11">+B24</f>
        <v>46876</v>
      </c>
      <c r="E24" s="52"/>
      <c r="F24" s="33">
        <f t="shared" si="2"/>
        <v>46876</v>
      </c>
      <c r="G24" s="50">
        <f>K23</f>
        <v>75</v>
      </c>
      <c r="H24" s="34">
        <f t="shared" ref="H24:H26" si="12">D24-D23</f>
        <v>182</v>
      </c>
      <c r="I24" s="27">
        <f t="shared" si="7"/>
        <v>2.9917808219178084</v>
      </c>
      <c r="J24" s="50">
        <f>J23</f>
        <v>25</v>
      </c>
      <c r="K24" s="50">
        <f t="shared" si="10"/>
        <v>50</v>
      </c>
      <c r="L24" s="29">
        <f t="shared" si="3"/>
        <v>27.991780821917807</v>
      </c>
      <c r="M24" s="30"/>
      <c r="N24" s="35">
        <f t="shared" si="8"/>
        <v>20.449755282707311</v>
      </c>
      <c r="O24" s="36">
        <f t="shared" si="4"/>
        <v>1461</v>
      </c>
      <c r="P24" s="37">
        <f t="shared" si="9"/>
        <v>298.77092240607487</v>
      </c>
    </row>
    <row r="25" spans="1:16" ht="14.5">
      <c r="A25" s="1"/>
      <c r="B25" s="24">
        <v>47060</v>
      </c>
      <c r="C25" s="25">
        <f t="shared" si="1"/>
        <v>0.08</v>
      </c>
      <c r="D25" s="32">
        <f>+B25</f>
        <v>47060</v>
      </c>
      <c r="E25" s="52"/>
      <c r="F25" s="33">
        <f t="shared" si="2"/>
        <v>47060</v>
      </c>
      <c r="G25" s="50">
        <f t="shared" ref="G25:G26" si="13">K24</f>
        <v>50</v>
      </c>
      <c r="H25" s="34">
        <f t="shared" si="12"/>
        <v>184</v>
      </c>
      <c r="I25" s="27">
        <f t="shared" si="7"/>
        <v>2.0164383561643837</v>
      </c>
      <c r="J25" s="50">
        <f t="shared" ref="J25:J26" si="14">J24</f>
        <v>25</v>
      </c>
      <c r="K25" s="50">
        <f t="shared" si="10"/>
        <v>25</v>
      </c>
      <c r="L25" s="29">
        <f t="shared" si="3"/>
        <v>27.016438356164382</v>
      </c>
      <c r="M25" s="30"/>
      <c r="N25" s="35">
        <f t="shared" si="8"/>
        <v>18.972063178121786</v>
      </c>
      <c r="O25" s="36">
        <f t="shared" si="4"/>
        <v>1645</v>
      </c>
      <c r="P25" s="37">
        <f t="shared" si="9"/>
        <v>312.09043690443468</v>
      </c>
    </row>
    <row r="26" spans="1:16" ht="15" thickBot="1">
      <c r="A26" s="1"/>
      <c r="B26" s="24">
        <v>47241</v>
      </c>
      <c r="C26" s="25">
        <f t="shared" si="1"/>
        <v>0.08</v>
      </c>
      <c r="D26" s="32">
        <f>+B26</f>
        <v>47241</v>
      </c>
      <c r="E26" s="52"/>
      <c r="F26" s="33">
        <f t="shared" si="2"/>
        <v>47241</v>
      </c>
      <c r="G26" s="50">
        <f t="shared" si="13"/>
        <v>25</v>
      </c>
      <c r="H26" s="34">
        <f t="shared" si="12"/>
        <v>181</v>
      </c>
      <c r="I26" s="27">
        <f t="shared" si="7"/>
        <v>0.99178082191780825</v>
      </c>
      <c r="J26" s="50">
        <f t="shared" si="14"/>
        <v>25</v>
      </c>
      <c r="K26" s="50">
        <f t="shared" si="10"/>
        <v>0</v>
      </c>
      <c r="L26" s="29">
        <f t="shared" si="3"/>
        <v>25.991780821917807</v>
      </c>
      <c r="M26" s="30"/>
      <c r="N26" s="35">
        <f t="shared" si="8"/>
        <v>17.55623354079378</v>
      </c>
      <c r="O26" s="36">
        <f t="shared" si="4"/>
        <v>1826</v>
      </c>
      <c r="P26" s="37">
        <f t="shared" si="9"/>
        <v>320.57682201462637</v>
      </c>
    </row>
    <row r="27" spans="1:16" ht="15" thickBot="1">
      <c r="A27" s="1"/>
      <c r="B27" s="38"/>
      <c r="C27" s="25"/>
      <c r="D27" s="1"/>
      <c r="E27" s="52"/>
      <c r="F27" s="64" t="s">
        <v>13</v>
      </c>
      <c r="G27" s="65"/>
      <c r="H27" s="66"/>
      <c r="I27" s="39">
        <f>SUM(I17:I26)</f>
        <v>34.032876712328765</v>
      </c>
      <c r="J27" s="51">
        <f>SUM(J17:J22)</f>
        <v>0</v>
      </c>
      <c r="K27" s="51"/>
      <c r="L27" s="40">
        <f>SUM(L16:L26)</f>
        <v>34.032876398335603</v>
      </c>
      <c r="M27" s="4"/>
      <c r="N27" s="41">
        <f>SUM(N17:N26)</f>
        <v>100.00000076121162</v>
      </c>
    </row>
    <row r="28" spans="1:16" ht="15" customHeight="1">
      <c r="E28" s="52"/>
    </row>
    <row r="29" spans="1:16" s="45" customFormat="1" ht="37.5" customHeight="1">
      <c r="E29" s="46"/>
      <c r="F29" s="63" t="s">
        <v>15</v>
      </c>
      <c r="G29" s="63"/>
      <c r="H29" s="63"/>
      <c r="I29" s="63"/>
      <c r="J29" s="63"/>
      <c r="K29" s="63"/>
      <c r="L29" s="63"/>
      <c r="M29" s="47"/>
    </row>
    <row r="30" spans="1:16" ht="15" customHeight="1"/>
    <row r="31" spans="1:16" ht="15" customHeight="1"/>
    <row r="32" spans="1:1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</sheetData>
  <sheetProtection algorithmName="SHA-512" hashValue="Ix0NwInIqTFNTAKe2YST8xDLs9bsy8JxjjYwDDmYWlG49EQ6pGJB3T1DN8OXML72f2nAf+ktedcRw0u4TE9gHg==" saltValue="fnpiJxzh2nN7aKBPQ4P3bw==" spinCount="100000" sheet="1" selectLockedCells="1"/>
  <mergeCells count="6">
    <mergeCell ref="F29:L29"/>
    <mergeCell ref="J10:K10"/>
    <mergeCell ref="J11:K11"/>
    <mergeCell ref="J12:K12"/>
    <mergeCell ref="J13:K13"/>
    <mergeCell ref="F27:H27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ON Clase XXIII Ad</vt:lpstr>
      <vt:lpstr>ON Clase XXIV</vt:lpstr>
      <vt:lpstr>'ON Clase XXIII Ad'!Área_de_impresión</vt:lpstr>
      <vt:lpstr>'ON Clase XXIV'!Área_de_impresión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tic allaria</cp:lastModifiedBy>
  <dcterms:created xsi:type="dcterms:W3CDTF">2021-09-15T11:57:40Z</dcterms:created>
  <dcterms:modified xsi:type="dcterms:W3CDTF">2024-04-30T13:35:46Z</dcterms:modified>
</cp:coreProperties>
</file>