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VISTA\ON Clase XXVIII\"/>
    </mc:Choice>
  </mc:AlternateContent>
  <xr:revisionPtr revIDLastSave="0" documentId="13_ncr:1_{67FEC05A-C63F-49B7-B1FC-20251AA11C01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XXVIII" sheetId="6" r:id="rId1"/>
  </sheets>
  <definedNames>
    <definedName name="_xlnm.Print_Area" localSheetId="0">'ON Clase XXVIII'!$A$8:$O$17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6" l="1"/>
  <c r="P22" i="6"/>
  <c r="P25" i="6"/>
  <c r="O26" i="6"/>
  <c r="O23" i="6"/>
  <c r="N17" i="6"/>
  <c r="L13" i="6"/>
  <c r="L11" i="6"/>
  <c r="L10" i="6"/>
  <c r="J26" i="6"/>
  <c r="H18" i="6"/>
  <c r="I17" i="6"/>
  <c r="H17" i="6"/>
  <c r="D24" i="6"/>
  <c r="D21" i="6"/>
  <c r="D20" i="6"/>
  <c r="D19" i="6"/>
  <c r="D18" i="6"/>
  <c r="D17" i="6"/>
  <c r="C26" i="6" l="1"/>
  <c r="C25" i="6"/>
  <c r="C24" i="6"/>
  <c r="C23" i="6"/>
  <c r="C22" i="6"/>
  <c r="C21" i="6"/>
  <c r="C20" i="6"/>
  <c r="C19" i="6"/>
  <c r="C18" i="6"/>
  <c r="C17" i="6"/>
  <c r="G16" i="6"/>
  <c r="L16" i="6" s="1"/>
  <c r="F16" i="6"/>
  <c r="D16" i="6"/>
  <c r="B16" i="6" s="1"/>
  <c r="B17" i="6" s="1"/>
  <c r="C16" i="6"/>
  <c r="B18" i="6" l="1"/>
  <c r="B19" i="6" s="1"/>
  <c r="B20" i="6" s="1"/>
  <c r="B21" i="6" s="1"/>
  <c r="B22" i="6" s="1"/>
  <c r="B23" i="6" s="1"/>
  <c r="B24" i="6" s="1"/>
  <c r="B25" i="6" s="1"/>
  <c r="B26" i="6" s="1"/>
  <c r="F17" i="6"/>
  <c r="J27" i="6"/>
  <c r="K16" i="6"/>
  <c r="G17" i="6" s="1"/>
  <c r="G23" i="6" s="1"/>
  <c r="O17" i="6" l="1"/>
  <c r="L17" i="6"/>
  <c r="K23" i="6"/>
  <c r="G24" i="6" s="1"/>
  <c r="K17" i="6"/>
  <c r="G18" i="6" s="1"/>
  <c r="K18" i="6" s="1"/>
  <c r="G19" i="6" s="1"/>
  <c r="K24" i="6" l="1"/>
  <c r="G25" i="6" s="1"/>
  <c r="K19" i="6"/>
  <c r="G20" i="6" s="1"/>
  <c r="H19" i="6" l="1"/>
  <c r="F19" i="6"/>
  <c r="O19" i="6" s="1"/>
  <c r="K25" i="6"/>
  <c r="G26" i="6" s="1"/>
  <c r="K20" i="6"/>
  <c r="G21" i="6" s="1"/>
  <c r="H20" i="6" l="1"/>
  <c r="I20" i="6" s="1"/>
  <c r="F20" i="6"/>
  <c r="O20" i="6" s="1"/>
  <c r="L20" i="6"/>
  <c r="K26" i="6"/>
  <c r="K21" i="6"/>
  <c r="G22" i="6" s="1"/>
  <c r="D22" i="6" l="1"/>
  <c r="H21" i="6"/>
  <c r="I21" i="6" s="1"/>
  <c r="L21" i="6" s="1"/>
  <c r="F21" i="6"/>
  <c r="O21" i="6" s="1"/>
  <c r="D23" i="6" l="1"/>
  <c r="H22" i="6"/>
  <c r="I22" i="6" s="1"/>
  <c r="L22" i="6" s="1"/>
  <c r="F22" i="6"/>
  <c r="O22" i="6" s="1"/>
  <c r="K22" i="6"/>
  <c r="H23" i="6" l="1"/>
  <c r="I23" i="6" s="1"/>
  <c r="L23" i="6" s="1"/>
  <c r="F23" i="6"/>
  <c r="D25" i="6" l="1"/>
  <c r="F24" i="6"/>
  <c r="O24" i="6" s="1"/>
  <c r="H24" i="6"/>
  <c r="I24" i="6" s="1"/>
  <c r="L24" i="6" s="1"/>
  <c r="D26" i="6" l="1"/>
  <c r="H25" i="6"/>
  <c r="I25" i="6" s="1"/>
  <c r="L25" i="6" s="1"/>
  <c r="F25" i="6"/>
  <c r="O25" i="6" s="1"/>
  <c r="F26" i="6" l="1"/>
  <c r="H26" i="6"/>
  <c r="I26" i="6" s="1"/>
  <c r="L26" i="6" s="1"/>
  <c r="F18" i="6"/>
  <c r="O18" i="6" s="1"/>
  <c r="I18" i="6"/>
  <c r="I19" i="6"/>
  <c r="L19" i="6" s="1"/>
  <c r="L18" i="6" l="1"/>
  <c r="I27" i="6" l="1"/>
  <c r="L27" i="6" l="1"/>
  <c r="N20" i="6" l="1"/>
  <c r="N23" i="6"/>
  <c r="N21" i="6"/>
  <c r="N22" i="6"/>
  <c r="N24" i="6"/>
  <c r="N19" i="6"/>
  <c r="N18" i="6"/>
  <c r="N25" i="6"/>
  <c r="N26" i="6"/>
  <c r="N27" i="6" l="1"/>
  <c r="P20" i="6" l="1"/>
  <c r="P26" i="6"/>
  <c r="P18" i="6"/>
  <c r="P23" i="6"/>
  <c r="P24" i="6"/>
  <c r="P21" i="6"/>
  <c r="P19" i="6"/>
  <c r="P17" i="6"/>
</calcChain>
</file>

<file path=xl/sharedStrings.xml><?xml version="1.0" encoding="utf-8"?>
<sst xmlns="http://schemas.openxmlformats.org/spreadsheetml/2006/main" count="23" uniqueCount="23">
  <si>
    <t>TIR</t>
  </si>
  <si>
    <t>Duration (meses)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</si>
  <si>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</si>
  <si>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</si>
  <si>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</si>
  <si>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</si>
  <si>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</si>
  <si>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</si>
  <si>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</si>
  <si>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</si>
  <si>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</si>
  <si>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</si>
  <si>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</si>
  <si>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</si>
  <si>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</si>
  <si>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</si>
  <si>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TNA (180 d)</t>
  </si>
  <si>
    <t>VN (USD)</t>
  </si>
  <si>
    <t>Fecha de Emisión y Liquidación</t>
  </si>
  <si>
    <t>Tasa Fija a Licitar</t>
  </si>
  <si>
    <t>Precio</t>
  </si>
  <si>
    <t>Dólar CABLE - 60 meses</t>
  </si>
  <si>
    <t>ON Vista Energy Argentina S.A.U. Clase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</si>
</sst>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165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165" fontId="8" fillId="2" borderId="0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8">
    <cellStyle name="Millares" xfId="1" builtinId="3"/>
    <cellStyle name="Millares 2" xfId="7" xr:uid="{53ED3172-4C2E-46EA-ADEE-088B86639FC1}"/>
    <cellStyle name="Moneda" xfId="2" builtinId="4"/>
    <cellStyle name="Normal" xfId="0" builtinId="0"/>
    <cellStyle name="Normal 2" xfId="4" xr:uid="{EBC8AC57-EE1D-40F8-A643-B7F21F4937FD}"/>
    <cellStyle name="Normal 3" xfId="6" xr:uid="{6484EC5E-8B7E-4324-A244-357B16354CB2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12</xdr:col>
      <xdr:colOff>3261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5D98D-8536-4F41-8C66-8EB27BE52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3" cy="442947"/>
        </a:xfrm>
        <a:prstGeom prst="rect">
          <a:avLst/>
        </a:prstGeom>
      </xdr:spPr>
    </xdr:pic>
    <xdr:clientData/>
  </xdr:twoCellAnchor>
  <xdr:twoCellAnchor editAs="oneCell">
    <xdr:from>
      <xdr:col>4</xdr:col>
      <xdr:colOff>851648</xdr:colOff>
      <xdr:row>1</xdr:row>
      <xdr:rowOff>138205</xdr:rowOff>
    </xdr:from>
    <xdr:to>
      <xdr:col>5</xdr:col>
      <xdr:colOff>1294281</xdr:colOff>
      <xdr:row>5</xdr:row>
      <xdr:rowOff>74706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F3902-31FA-4220-B48B-873347516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766" y="328705"/>
          <a:ext cx="1428751" cy="69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E415-D155-451D-8D83-4C8B09740055}">
  <sheetPr>
    <pageSetUpPr fitToPage="1"/>
  </sheetPr>
  <dimension ref="A1:P84"/>
  <sheetViews>
    <sheetView showGridLines="0" tabSelected="1" topLeftCell="E2" zoomScale="90" zoomScaleNormal="90" workbookViewId="0">
      <selection activeCell="G10" sqref="G10"/>
    </sheetView>
  </sheetViews>
  <sheetFormatPr baseColWidth="10" defaultColWidth="9.140625" defaultRowHeight="0" customHeight="1" zeroHeight="1"/>
  <cols>
    <col min="1" max="1" width="9.140625" style="5" hidden="1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14.7109375" style="42" customWidth="1"/>
    <col min="6" max="6" width="34.85546875" style="43" customWidth="1"/>
    <col min="7" max="7" width="16.7109375" style="42" bestFit="1" customWidth="1"/>
    <col min="8" max="8" width="13.42578125" style="42" bestFit="1" customWidth="1"/>
    <col min="9" max="9" width="14.85546875" style="42" bestFit="1" customWidth="1"/>
    <col min="10" max="10" width="18.42578125" style="42" bestFit="1" customWidth="1"/>
    <col min="11" max="11" width="20.85546875" style="42" bestFit="1" customWidth="1"/>
    <col min="12" max="12" width="16.85546875" style="42" customWidth="1"/>
    <col min="13" max="13" width="10.42578125" style="44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22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21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17</v>
      </c>
      <c r="G10" s="8">
        <v>1000</v>
      </c>
      <c r="H10" s="2"/>
      <c r="I10" s="2"/>
      <c r="J10" s="56" t="s">
        <v>0</v>
      </c>
      <c r="K10" s="56"/>
      <c r="L10" s="9">
        <f>+XIRR(L16:L26,F16:F26)</f>
        <v>7.6398161053657529E-2</v>
      </c>
      <c r="M10" s="10"/>
    </row>
    <row r="11" spans="1:16" ht="15">
      <c r="A11" s="1"/>
      <c r="B11" s="1"/>
      <c r="C11" s="1"/>
      <c r="D11" s="1"/>
      <c r="E11" s="2"/>
      <c r="F11" s="7" t="s">
        <v>18</v>
      </c>
      <c r="G11" s="11">
        <v>45723</v>
      </c>
      <c r="H11" s="2"/>
      <c r="I11" s="2"/>
      <c r="J11" s="56" t="s">
        <v>16</v>
      </c>
      <c r="K11" s="56"/>
      <c r="L11" s="9">
        <f>+(((1+L10)^(1/2)-1)*2)</f>
        <v>7.4992203410564784E-2</v>
      </c>
      <c r="M11" s="53"/>
    </row>
    <row r="12" spans="1:16" ht="15">
      <c r="A12" s="1"/>
      <c r="B12" s="1"/>
      <c r="C12" s="1"/>
      <c r="D12" s="1"/>
      <c r="E12" s="2"/>
      <c r="F12" s="49" t="s">
        <v>19</v>
      </c>
      <c r="G12" s="48">
        <v>7.4999999999999997E-2</v>
      </c>
      <c r="H12" s="2"/>
      <c r="I12" s="2"/>
      <c r="J12" s="56" t="s">
        <v>1</v>
      </c>
      <c r="K12" s="56"/>
      <c r="L12" s="12">
        <f>+SUM(P17:P26)/(365/12)</f>
        <v>51.154425009424138</v>
      </c>
      <c r="M12" s="53"/>
    </row>
    <row r="13" spans="1:16" ht="15">
      <c r="A13" s="1"/>
      <c r="B13" s="1"/>
      <c r="C13" s="1"/>
      <c r="D13" s="1"/>
      <c r="E13" s="2"/>
      <c r="F13" s="49" t="s">
        <v>20</v>
      </c>
      <c r="G13" s="54">
        <v>1.0000000031399316</v>
      </c>
      <c r="I13" s="6"/>
      <c r="J13" s="56" t="s">
        <v>14</v>
      </c>
      <c r="K13" s="56"/>
      <c r="L13" s="12">
        <f>+SUM(P17:P26)/(365)</f>
        <v>4.2628687507853451</v>
      </c>
      <c r="M13" s="13"/>
      <c r="N13" s="14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5"/>
      <c r="N14" s="14"/>
    </row>
    <row r="15" spans="1:16" s="23" customFormat="1" ht="28.5" customHeight="1" thickBot="1">
      <c r="A15" s="16"/>
      <c r="B15" s="17"/>
      <c r="C15" s="17" t="s">
        <v>2</v>
      </c>
      <c r="D15" s="17"/>
      <c r="E15" s="18"/>
      <c r="F15" s="19" t="s">
        <v>3</v>
      </c>
      <c r="G15" s="19" t="s">
        <v>4</v>
      </c>
      <c r="H15" s="19" t="s">
        <v>5</v>
      </c>
      <c r="I15" s="19" t="s">
        <v>6</v>
      </c>
      <c r="J15" s="19" t="s">
        <v>7</v>
      </c>
      <c r="K15" s="19" t="s">
        <v>8</v>
      </c>
      <c r="L15" s="20" t="s">
        <v>9</v>
      </c>
      <c r="M15" s="21"/>
      <c r="N15" s="22" t="s">
        <v>10</v>
      </c>
      <c r="O15" s="22" t="s">
        <v>11</v>
      </c>
      <c r="P15" s="22" t="s">
        <v>12</v>
      </c>
    </row>
    <row r="16" spans="1:16" ht="15">
      <c r="A16" s="1"/>
      <c r="B16" s="24">
        <f>+D16</f>
        <v>45723</v>
      </c>
      <c r="C16" s="25">
        <f>+$G$12</f>
        <v>7.4999999999999997E-2</v>
      </c>
      <c r="D16" s="24">
        <f>+G11</f>
        <v>45723</v>
      </c>
      <c r="F16" s="26">
        <f>+G11</f>
        <v>45723</v>
      </c>
      <c r="G16" s="50">
        <f>+G10</f>
        <v>1000</v>
      </c>
      <c r="H16" s="28"/>
      <c r="I16" s="27"/>
      <c r="J16" s="50"/>
      <c r="K16" s="50">
        <f t="shared" ref="K16:K22" si="0">+G16-J16</f>
        <v>1000</v>
      </c>
      <c r="L16" s="29">
        <f>-G16*G13</f>
        <v>-1000.0000031399317</v>
      </c>
      <c r="M16" s="30"/>
      <c r="N16" s="31"/>
      <c r="O16" s="31"/>
    </row>
    <row r="17" spans="1:16" ht="15">
      <c r="A17" s="1"/>
      <c r="B17" s="24">
        <f>+DATE(YEAR(B16),MONTH(B16)+6,+DAY(B16))</f>
        <v>45907</v>
      </c>
      <c r="C17" s="25">
        <f t="shared" ref="C17:C26" si="1">+$G$12</f>
        <v>7.4999999999999997E-2</v>
      </c>
      <c r="D17" s="32">
        <f>+B17+1</f>
        <v>45908</v>
      </c>
      <c r="E17" s="52"/>
      <c r="F17" s="33">
        <f>+D17</f>
        <v>45908</v>
      </c>
      <c r="G17" s="50">
        <f>K16</f>
        <v>1000</v>
      </c>
      <c r="H17" s="34">
        <f>B17-B16</f>
        <v>184</v>
      </c>
      <c r="I17" s="27">
        <f>G17*$G$12*(H17/365)</f>
        <v>37.808219178082197</v>
      </c>
      <c r="J17" s="50">
        <v>0</v>
      </c>
      <c r="K17" s="50">
        <f t="shared" si="0"/>
        <v>1000</v>
      </c>
      <c r="L17" s="29">
        <f t="shared" ref="L17:L26" si="2">+I17+J17</f>
        <v>37.808219178082197</v>
      </c>
      <c r="M17" s="30"/>
      <c r="N17" s="35">
        <f>+L17/(1+$L$10)^((O17)/365)</f>
        <v>36.423422839947705</v>
      </c>
      <c r="O17" s="36">
        <f t="shared" ref="O17:O22" si="3">+F17-$F$16</f>
        <v>185</v>
      </c>
      <c r="P17" s="37">
        <f t="shared" ref="P17:P26" si="4">+(N17/$N$27)*O17</f>
        <v>6.7383331476910575</v>
      </c>
    </row>
    <row r="18" spans="1:16" ht="15">
      <c r="A18" s="1"/>
      <c r="B18" s="24">
        <f t="shared" ref="B18:B26" si="5">+DATE(YEAR(B17),MONTH(B17)+6,+DAY(B17))</f>
        <v>46088</v>
      </c>
      <c r="C18" s="25">
        <f t="shared" si="1"/>
        <v>7.4999999999999997E-2</v>
      </c>
      <c r="D18" s="32">
        <f>+B18+2</f>
        <v>46090</v>
      </c>
      <c r="E18" s="52"/>
      <c r="F18" s="33">
        <f t="shared" ref="F18:F26" si="6">+D18</f>
        <v>46090</v>
      </c>
      <c r="G18" s="50">
        <f t="shared" ref="G18:G22" si="7">K17</f>
        <v>1000</v>
      </c>
      <c r="H18" s="34">
        <f>B18-B17</f>
        <v>181</v>
      </c>
      <c r="I18" s="27">
        <f t="shared" ref="I18:I26" si="8">G18*$G$12*(H18/365)</f>
        <v>37.19178082191781</v>
      </c>
      <c r="J18" s="50">
        <v>0</v>
      </c>
      <c r="K18" s="50">
        <f t="shared" si="0"/>
        <v>1000</v>
      </c>
      <c r="L18" s="29">
        <f t="shared" si="2"/>
        <v>37.19178082191781</v>
      </c>
      <c r="M18" s="30"/>
      <c r="N18" s="35">
        <f t="shared" ref="N18:N26" si="9">+L18/(1+$L$10)^((O18)/365)</f>
        <v>34.538131002415717</v>
      </c>
      <c r="O18" s="36">
        <f t="shared" si="3"/>
        <v>367</v>
      </c>
      <c r="P18" s="37">
        <f t="shared" si="4"/>
        <v>12.675493931726296</v>
      </c>
    </row>
    <row r="19" spans="1:16" ht="15">
      <c r="A19" s="1"/>
      <c r="B19" s="24">
        <f t="shared" si="5"/>
        <v>46272</v>
      </c>
      <c r="C19" s="25">
        <f t="shared" si="1"/>
        <v>7.4999999999999997E-2</v>
      </c>
      <c r="D19" s="32">
        <f>+B19</f>
        <v>46272</v>
      </c>
      <c r="E19" s="52"/>
      <c r="F19" s="33">
        <f t="shared" si="6"/>
        <v>46272</v>
      </c>
      <c r="G19" s="50">
        <f t="shared" si="7"/>
        <v>1000</v>
      </c>
      <c r="H19" s="34">
        <f>B19-B18</f>
        <v>184</v>
      </c>
      <c r="I19" s="27">
        <f t="shared" si="8"/>
        <v>37.808219178082197</v>
      </c>
      <c r="J19" s="50">
        <v>0</v>
      </c>
      <c r="K19" s="50">
        <f t="shared" si="0"/>
        <v>1000</v>
      </c>
      <c r="L19" s="29">
        <f t="shared" si="2"/>
        <v>37.808219178082197</v>
      </c>
      <c r="M19" s="30"/>
      <c r="N19" s="35">
        <f t="shared" si="9"/>
        <v>33.845069135742399</v>
      </c>
      <c r="O19" s="36">
        <f t="shared" si="3"/>
        <v>549</v>
      </c>
      <c r="P19" s="37">
        <f t="shared" si="4"/>
        <v>18.58094274126697</v>
      </c>
    </row>
    <row r="20" spans="1:16" ht="15">
      <c r="A20" s="1"/>
      <c r="B20" s="24">
        <f t="shared" si="5"/>
        <v>46453</v>
      </c>
      <c r="C20" s="25">
        <f t="shared" si="1"/>
        <v>7.4999999999999997E-2</v>
      </c>
      <c r="D20" s="32">
        <f>+B20+1</f>
        <v>46454</v>
      </c>
      <c r="E20" s="52"/>
      <c r="F20" s="33">
        <f t="shared" si="6"/>
        <v>46454</v>
      </c>
      <c r="G20" s="50">
        <f t="shared" si="7"/>
        <v>1000</v>
      </c>
      <c r="H20" s="34">
        <f t="shared" ref="H20:H26" si="10">B20-B19</f>
        <v>181</v>
      </c>
      <c r="I20" s="27">
        <f t="shared" si="8"/>
        <v>37.19178082191781</v>
      </c>
      <c r="J20" s="50">
        <v>0</v>
      </c>
      <c r="K20" s="50">
        <f t="shared" si="0"/>
        <v>1000</v>
      </c>
      <c r="L20" s="29">
        <f t="shared" si="2"/>
        <v>37.19178082191781</v>
      </c>
      <c r="M20" s="30"/>
      <c r="N20" s="35">
        <f t="shared" si="9"/>
        <v>32.093233981130325</v>
      </c>
      <c r="O20" s="36">
        <f t="shared" si="3"/>
        <v>731</v>
      </c>
      <c r="P20" s="37">
        <f t="shared" si="4"/>
        <v>23.460153769688805</v>
      </c>
    </row>
    <row r="21" spans="1:16" ht="15">
      <c r="A21" s="1"/>
      <c r="B21" s="24">
        <f t="shared" si="5"/>
        <v>46637</v>
      </c>
      <c r="C21" s="25">
        <f t="shared" si="1"/>
        <v>7.4999999999999997E-2</v>
      </c>
      <c r="D21" s="32">
        <f>+B21</f>
        <v>46637</v>
      </c>
      <c r="E21" s="52"/>
      <c r="F21" s="33">
        <f t="shared" si="6"/>
        <v>46637</v>
      </c>
      <c r="G21" s="50">
        <f t="shared" si="7"/>
        <v>1000</v>
      </c>
      <c r="H21" s="34">
        <f t="shared" si="10"/>
        <v>184</v>
      </c>
      <c r="I21" s="27">
        <f t="shared" si="8"/>
        <v>37.808219178082197</v>
      </c>
      <c r="J21" s="50">
        <v>0</v>
      </c>
      <c r="K21" s="50">
        <f t="shared" si="0"/>
        <v>1000</v>
      </c>
      <c r="L21" s="29">
        <f t="shared" si="2"/>
        <v>37.808219178082197</v>
      </c>
      <c r="M21" s="30"/>
      <c r="N21" s="35">
        <f t="shared" si="9"/>
        <v>31.442890150065256</v>
      </c>
      <c r="O21" s="36">
        <f t="shared" si="3"/>
        <v>914</v>
      </c>
      <c r="P21" s="37">
        <f t="shared" si="4"/>
        <v>28.738801265774452</v>
      </c>
    </row>
    <row r="22" spans="1:16" ht="15">
      <c r="A22" s="1"/>
      <c r="B22" s="24">
        <f t="shared" si="5"/>
        <v>46819</v>
      </c>
      <c r="C22" s="25">
        <f t="shared" si="1"/>
        <v>7.4999999999999997E-2</v>
      </c>
      <c r="D22" s="32">
        <f>+B22</f>
        <v>46819</v>
      </c>
      <c r="E22" s="52"/>
      <c r="F22" s="33">
        <f t="shared" si="6"/>
        <v>46819</v>
      </c>
      <c r="G22" s="50">
        <f t="shared" si="7"/>
        <v>1000</v>
      </c>
      <c r="H22" s="34">
        <f t="shared" si="10"/>
        <v>182</v>
      </c>
      <c r="I22" s="27">
        <f t="shared" si="8"/>
        <v>37.397260273972606</v>
      </c>
      <c r="J22" s="50">
        <v>0</v>
      </c>
      <c r="K22" s="50">
        <f t="shared" si="0"/>
        <v>1000</v>
      </c>
      <c r="L22" s="29">
        <f t="shared" si="2"/>
        <v>37.397260273972606</v>
      </c>
      <c r="M22" s="30"/>
      <c r="N22" s="35">
        <f t="shared" si="9"/>
        <v>29.980118727181928</v>
      </c>
      <c r="O22" s="36">
        <f t="shared" si="3"/>
        <v>1096</v>
      </c>
      <c r="P22" s="37">
        <f t="shared" si="4"/>
        <v>32.858209746105572</v>
      </c>
    </row>
    <row r="23" spans="1:16" ht="15">
      <c r="A23" s="1"/>
      <c r="B23" s="24">
        <f t="shared" si="5"/>
        <v>47003</v>
      </c>
      <c r="C23" s="25">
        <f>+$G$12</f>
        <v>7.4999999999999997E-2</v>
      </c>
      <c r="D23" s="32">
        <f t="shared" ref="D23:D26" si="11">+B23</f>
        <v>47003</v>
      </c>
      <c r="F23" s="33">
        <f t="shared" si="6"/>
        <v>47003</v>
      </c>
      <c r="G23" s="50">
        <f>+G17</f>
        <v>1000</v>
      </c>
      <c r="H23" s="34">
        <f t="shared" si="10"/>
        <v>184</v>
      </c>
      <c r="I23" s="27">
        <f t="shared" si="8"/>
        <v>37.808219178082197</v>
      </c>
      <c r="J23" s="50">
        <v>0</v>
      </c>
      <c r="K23" s="50">
        <f t="shared" ref="K23:K26" si="12">+G23-J23</f>
        <v>1000</v>
      </c>
      <c r="L23" s="29">
        <f t="shared" si="2"/>
        <v>37.808219178082197</v>
      </c>
      <c r="M23" s="30"/>
      <c r="N23" s="35">
        <f t="shared" si="9"/>
        <v>29.20531630582197</v>
      </c>
      <c r="O23" s="36">
        <f>+F23-$F$16</f>
        <v>1280</v>
      </c>
      <c r="P23" s="37">
        <f t="shared" si="4"/>
        <v>37.382804440393507</v>
      </c>
    </row>
    <row r="24" spans="1:16" ht="15">
      <c r="A24" s="1"/>
      <c r="B24" s="24">
        <f t="shared" si="5"/>
        <v>47184</v>
      </c>
      <c r="C24" s="25">
        <f t="shared" si="1"/>
        <v>7.4999999999999997E-2</v>
      </c>
      <c r="D24" s="32">
        <f>+B24</f>
        <v>47184</v>
      </c>
      <c r="E24" s="52"/>
      <c r="F24" s="33">
        <f t="shared" si="6"/>
        <v>47184</v>
      </c>
      <c r="G24" s="50">
        <f>K23</f>
        <v>1000</v>
      </c>
      <c r="H24" s="34">
        <f t="shared" si="10"/>
        <v>181</v>
      </c>
      <c r="I24" s="27">
        <f t="shared" si="8"/>
        <v>37.19178082191781</v>
      </c>
      <c r="J24" s="50">
        <v>0</v>
      </c>
      <c r="K24" s="50">
        <f t="shared" si="12"/>
        <v>1000</v>
      </c>
      <c r="L24" s="29">
        <f t="shared" si="2"/>
        <v>37.19178082191781</v>
      </c>
      <c r="M24" s="30"/>
      <c r="N24" s="35">
        <f t="shared" si="9"/>
        <v>27.699223093175856</v>
      </c>
      <c r="O24" s="36">
        <f t="shared" ref="O24:O25" si="13">+F24-$F$16</f>
        <v>1461</v>
      </c>
      <c r="P24" s="37">
        <f t="shared" si="4"/>
        <v>40.468564472489618</v>
      </c>
    </row>
    <row r="25" spans="1:16" ht="15">
      <c r="A25" s="1"/>
      <c r="B25" s="24">
        <f t="shared" si="5"/>
        <v>47368</v>
      </c>
      <c r="C25" s="25">
        <f t="shared" si="1"/>
        <v>7.4999999999999997E-2</v>
      </c>
      <c r="D25" s="32">
        <f t="shared" si="11"/>
        <v>47368</v>
      </c>
      <c r="E25" s="52"/>
      <c r="F25" s="33">
        <f t="shared" si="6"/>
        <v>47368</v>
      </c>
      <c r="G25" s="50">
        <f t="shared" ref="G25:G26" si="14">K24</f>
        <v>1000</v>
      </c>
      <c r="H25" s="34">
        <f t="shared" si="10"/>
        <v>184</v>
      </c>
      <c r="I25" s="27">
        <f t="shared" si="8"/>
        <v>37.808219178082197</v>
      </c>
      <c r="J25" s="50">
        <v>0</v>
      </c>
      <c r="K25" s="50">
        <f t="shared" si="12"/>
        <v>1000</v>
      </c>
      <c r="L25" s="29">
        <f t="shared" si="2"/>
        <v>37.808219178082197</v>
      </c>
      <c r="M25" s="30"/>
      <c r="N25" s="35">
        <f t="shared" si="9"/>
        <v>27.132447232382546</v>
      </c>
      <c r="O25" s="36">
        <f t="shared" si="13"/>
        <v>1645</v>
      </c>
      <c r="P25" s="37">
        <f t="shared" si="4"/>
        <v>44.63287518261059</v>
      </c>
    </row>
    <row r="26" spans="1:16" ht="15.75" thickBot="1">
      <c r="A26" s="1"/>
      <c r="B26" s="24">
        <f t="shared" si="5"/>
        <v>47549</v>
      </c>
      <c r="C26" s="25">
        <f t="shared" si="1"/>
        <v>7.4999999999999997E-2</v>
      </c>
      <c r="D26" s="32">
        <f t="shared" si="11"/>
        <v>47549</v>
      </c>
      <c r="E26" s="52"/>
      <c r="F26" s="33">
        <f t="shared" si="6"/>
        <v>47549</v>
      </c>
      <c r="G26" s="50">
        <f t="shared" si="14"/>
        <v>1000</v>
      </c>
      <c r="H26" s="34">
        <f t="shared" si="10"/>
        <v>181</v>
      </c>
      <c r="I26" s="27">
        <f t="shared" si="8"/>
        <v>37.19178082191781</v>
      </c>
      <c r="J26" s="50">
        <f>+$G$10</f>
        <v>1000</v>
      </c>
      <c r="K26" s="50">
        <f t="shared" si="12"/>
        <v>0</v>
      </c>
      <c r="L26" s="29">
        <f t="shared" si="2"/>
        <v>1037.1917808219177</v>
      </c>
      <c r="M26" s="30"/>
      <c r="N26" s="35">
        <f t="shared" si="9"/>
        <v>717.6401590630694</v>
      </c>
      <c r="O26" s="36">
        <f>+F26-$F$16</f>
        <v>1826</v>
      </c>
      <c r="P26" s="37">
        <f t="shared" si="4"/>
        <v>1310.410915338904</v>
      </c>
    </row>
    <row r="27" spans="1:16" ht="15.75" thickBot="1">
      <c r="A27" s="1"/>
      <c r="B27" s="38"/>
      <c r="C27" s="25"/>
      <c r="D27" s="1"/>
      <c r="E27" s="52"/>
      <c r="F27" s="57" t="s">
        <v>13</v>
      </c>
      <c r="G27" s="58"/>
      <c r="H27" s="59"/>
      <c r="I27" s="39">
        <f>SUM(I17:I26)</f>
        <v>375.20547945205482</v>
      </c>
      <c r="J27" s="51">
        <f>SUM(J17:J26)</f>
        <v>1000</v>
      </c>
      <c r="K27" s="51"/>
      <c r="L27" s="40">
        <f>SUM(L16:L26)</f>
        <v>375.20547631212298</v>
      </c>
      <c r="M27" s="4"/>
      <c r="N27" s="41">
        <f>SUM(N17:N26)</f>
        <v>1000.0000115309331</v>
      </c>
    </row>
    <row r="28" spans="1:16" ht="15" customHeight="1">
      <c r="E28" s="52"/>
    </row>
    <row r="29" spans="1:16" s="45" customFormat="1" ht="37.5" customHeight="1">
      <c r="E29" s="46"/>
      <c r="F29" s="55" t="s">
        <v>15</v>
      </c>
      <c r="G29" s="55"/>
      <c r="H29" s="55"/>
      <c r="I29" s="55"/>
      <c r="J29" s="55"/>
      <c r="K29" s="55"/>
      <c r="L29" s="55"/>
      <c r="M29" s="47"/>
    </row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</sheetData>
  <sheetProtection algorithmName="SHA-512" hashValue="KLvSijw0J8yKVlS9MenEuSQuUyTSosu/0ml9ZTGBqscYdw00nO0/cd/iJ0rR1OGRTvldBsMF6SUuO2646dgM/A==" saltValue="3/ovKBfQy/6DXJSaeTtnCQ==" spinCount="100000" sheet="1" selectLockedCells="1"/>
  <mergeCells count="6">
    <mergeCell ref="F29:L29"/>
    <mergeCell ref="J10:K10"/>
    <mergeCell ref="J11:K11"/>
    <mergeCell ref="J12:K12"/>
    <mergeCell ref="J13:K13"/>
    <mergeCell ref="F27:H27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XXVIII</vt:lpstr>
      <vt:lpstr>'ON Clase XXVIII'!Área_de_impresión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2025-03-05T12:54:31Z</dcterms:modified>
</cp:coreProperties>
</file>