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1\Compartida\Finanzas Corporativas\EMPRESAS\YPF\Clase XXIX\"/>
    </mc:Choice>
  </mc:AlternateContent>
  <xr:revisionPtr revIDLastSave="0" documentId="13_ncr:1_{406F08E9-266E-4BA5-B92D-E7BBAE9E287F}" xr6:coauthVersionLast="47" xr6:coauthVersionMax="47" xr10:uidLastSave="{00000000-0000-0000-0000-000000000000}"/>
  <bookViews>
    <workbookView xWindow="-120" yWindow="-120" windowWidth="29040" windowHeight="15840" xr2:uid="{5A7869C8-6724-4931-8FBD-F406316EB44F}"/>
  </bookViews>
  <sheets>
    <sheet name="ON Clase XXIX" sheetId="5" r:id="rId1"/>
  </sheets>
  <definedNames>
    <definedName name="_xlnm.Print_Area" localSheetId="0">'ON Clase XXIX'!$A$8:$O$17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5" l="1"/>
  <c r="K16" i="5"/>
  <c r="O23" i="5"/>
  <c r="D23" i="5"/>
  <c r="D22" i="5"/>
  <c r="D21" i="5"/>
  <c r="F23" i="5"/>
  <c r="C23" i="5"/>
  <c r="D19" i="5"/>
  <c r="H23" i="5"/>
  <c r="D20" i="5"/>
  <c r="D18" i="5"/>
  <c r="H18" i="5"/>
  <c r="H19" i="5"/>
  <c r="H20" i="5"/>
  <c r="H21" i="5"/>
  <c r="H22" i="5" l="1"/>
  <c r="F22" i="5"/>
  <c r="C22" i="5"/>
  <c r="F21" i="5"/>
  <c r="C21" i="5"/>
  <c r="F20" i="5"/>
  <c r="C20" i="5"/>
  <c r="F19" i="5"/>
  <c r="C19" i="5"/>
  <c r="F18" i="5"/>
  <c r="C18" i="5"/>
  <c r="D17" i="5"/>
  <c r="F17" i="5" s="1"/>
  <c r="C17" i="5"/>
  <c r="G17" i="5"/>
  <c r="F16" i="5"/>
  <c r="D16" i="5"/>
  <c r="C16" i="5"/>
  <c r="B16" i="5"/>
  <c r="H17" i="5" s="1"/>
  <c r="I17" i="5" s="1"/>
  <c r="L16" i="5" l="1"/>
  <c r="O17" i="5"/>
  <c r="O22" i="5"/>
  <c r="O18" i="5"/>
  <c r="O19" i="5"/>
  <c r="O20" i="5"/>
  <c r="O21" i="5"/>
  <c r="K17" i="5" l="1"/>
  <c r="G18" i="5" s="1"/>
  <c r="L17" i="5"/>
  <c r="I18" i="5" l="1"/>
  <c r="K18" i="5" l="1"/>
  <c r="G19" i="5" s="1"/>
  <c r="L18" i="5"/>
  <c r="I19" i="5" l="1"/>
  <c r="K19" i="5" l="1"/>
  <c r="G20" i="5" s="1"/>
  <c r="I20" i="5" l="1"/>
  <c r="L19" i="5"/>
  <c r="K20" i="5" l="1"/>
  <c r="G21" i="5" s="1"/>
  <c r="I21" i="5" l="1"/>
  <c r="L20" i="5"/>
  <c r="K21" i="5" l="1"/>
  <c r="G22" i="5" s="1"/>
  <c r="L21" i="5"/>
  <c r="I22" i="5" l="1"/>
  <c r="K22" i="5" l="1"/>
  <c r="G23" i="5" s="1"/>
  <c r="J23" i="5" s="1"/>
  <c r="J24" i="5" s="1"/>
  <c r="L22" i="5"/>
  <c r="K23" i="5" l="1"/>
  <c r="I23" i="5"/>
  <c r="I24" i="5" s="1"/>
  <c r="L23" i="5" l="1"/>
  <c r="L10" i="5" l="1"/>
  <c r="L24" i="5"/>
  <c r="L11" i="5" l="1"/>
  <c r="N18" i="5"/>
  <c r="N20" i="5"/>
  <c r="N22" i="5"/>
  <c r="N17" i="5"/>
  <c r="N19" i="5"/>
  <c r="N21" i="5"/>
  <c r="N23" i="5"/>
  <c r="N24" i="5" l="1"/>
  <c r="P23" i="5" s="1"/>
  <c r="P20" i="5" l="1"/>
  <c r="P18" i="5"/>
  <c r="P19" i="5"/>
  <c r="P17" i="5"/>
  <c r="P21" i="5"/>
  <c r="P22" i="5"/>
  <c r="L13" i="5" l="1"/>
  <c r="L12" i="5"/>
</calcChain>
</file>

<file path=xl/sharedStrings.xml><?xml version="1.0" encoding="utf-8"?>
<sst xmlns="http://schemas.openxmlformats.org/spreadsheetml/2006/main" count="23" uniqueCount="23">
  <si>
    <t>VN (USD)</t>
  </si>
  <si>
    <t>TIR</t>
  </si>
  <si>
    <t>Fecha de Emisión y Liquidación</t>
  </si>
  <si>
    <t>Duration (meses)</t>
  </si>
  <si>
    <t>Precio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</si>
  <si>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</si>
  <si>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</si>
  <si>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</si>
  <si>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</si>
  <si>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</si>
  <si>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</si>
  <si>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</si>
  <si>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</si>
  <si>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</si>
  <si>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</si>
  <si>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</si>
  <si>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</si>
  <si>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>Duration (años)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</si>
  <si>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</si>
  <si>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Tasa Fija</t>
  </si>
  <si>
    <t>Dólar MEP - 24 meses</t>
  </si>
  <si>
    <t>ON YPF S.A. Clase XXIX</t>
  </si>
  <si>
    <t>TNA (90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</si>
</sst>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</numFmts>
  <fonts count="14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</cellStyleXfs>
  <cellXfs count="59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8" fillId="2" borderId="0" xfId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9" fontId="7" fillId="5" borderId="1" xfId="3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3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4" xfId="5" applyFont="1" applyFill="1" applyBorder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5" borderId="6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7" xfId="0" applyNumberFormat="1" applyFont="1" applyFill="1" applyBorder="1" applyAlignment="1" applyProtection="1">
      <alignment horizontal="right" indent="1"/>
      <protection hidden="1"/>
    </xf>
    <xf numFmtId="168" fontId="4" fillId="5" borderId="8" xfId="0" applyNumberFormat="1" applyFont="1" applyFill="1" applyBorder="1" applyProtection="1"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10" fillId="2" borderId="0" xfId="0" applyNumberFormat="1" applyFont="1" applyFill="1" applyProtection="1">
      <protection hidden="1"/>
    </xf>
    <xf numFmtId="167" fontId="4" fillId="5" borderId="9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7" fontId="3" fillId="0" borderId="0" xfId="0" applyNumberFormat="1" applyFont="1" applyProtection="1">
      <protection hidden="1"/>
    </xf>
    <xf numFmtId="168" fontId="1" fillId="6" borderId="4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6" fontId="3" fillId="0" borderId="12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4" xfId="5" applyNumberFormat="1" applyFont="1" applyFill="1" applyBorder="1" applyAlignment="1" applyProtection="1">
      <alignment horizontal="center" vertical="center" wrapText="1"/>
      <protection hidden="1"/>
    </xf>
    <xf numFmtId="165" fontId="4" fillId="0" borderId="0" xfId="1" applyFont="1" applyProtection="1"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" fillId="6" borderId="4" xfId="5" applyFont="1" applyFill="1" applyBorder="1" applyAlignment="1" applyProtection="1">
      <alignment horizontal="center" vertical="center" wrapText="1"/>
      <protection hidden="1"/>
    </xf>
    <xf numFmtId="0" fontId="1" fillId="6" borderId="10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</cellXfs>
  <cellStyles count="6">
    <cellStyle name="Millares" xfId="1" builtinId="3"/>
    <cellStyle name="Moneda" xfId="2" builtinId="4"/>
    <cellStyle name="Normal" xfId="0" builtinId="0"/>
    <cellStyle name="Normal 2" xfId="4" xr:uid="{EBC8AC57-EE1D-40F8-A643-B7F21F4937FD}"/>
    <cellStyle name="Normal_Calculadora Garbarino 45_v1" xfId="5" xr:uid="{5AE9708E-5E6C-442A-86E7-23EBBB0BEED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1351037</xdr:colOff>
      <xdr:row>3</xdr:row>
      <xdr:rowOff>49138</xdr:rowOff>
    </xdr:from>
    <xdr:to>
      <xdr:col>11</xdr:col>
      <xdr:colOff>1114325</xdr:colOff>
      <xdr:row>5</xdr:row>
      <xdr:rowOff>123785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F2C331-BA55-4046-83F7-48236C242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5437" y="592063"/>
          <a:ext cx="1220613" cy="436597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2</xdr:row>
      <xdr:rowOff>0</xdr:rowOff>
    </xdr:from>
    <xdr:to>
      <xdr:col>5</xdr:col>
      <xdr:colOff>1438275</xdr:colOff>
      <xdr:row>4</xdr:row>
      <xdr:rowOff>171807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CB1EF7-6FCF-07DE-0E04-3CB258A3A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3075" y="361950"/>
          <a:ext cx="1362075" cy="533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11EE-45F6-4FDB-B331-265CB77B8B02}">
  <sheetPr>
    <pageSetUpPr fitToPage="1"/>
  </sheetPr>
  <dimension ref="A1:Q81"/>
  <sheetViews>
    <sheetView showGridLines="0" tabSelected="1" zoomScaleNormal="100" workbookViewId="0">
      <selection activeCell="G10" sqref="G10"/>
    </sheetView>
  </sheetViews>
  <sheetFormatPr baseColWidth="10" defaultColWidth="9.1796875" defaultRowHeight="0" customHeight="1" zeroHeight="1"/>
  <cols>
    <col min="1" max="1" width="9.1796875" style="5" customWidth="1"/>
    <col min="2" max="2" width="36" style="5" hidden="1" customWidth="1"/>
    <col min="3" max="3" width="15.81640625" style="5" hidden="1" customWidth="1"/>
    <col min="4" max="4" width="36" style="5" hidden="1" customWidth="1"/>
    <col min="5" max="5" width="14.7265625" style="44" customWidth="1"/>
    <col min="6" max="6" width="34.81640625" style="45" customWidth="1"/>
    <col min="7" max="7" width="16.7265625" style="44" bestFit="1" customWidth="1"/>
    <col min="8" max="8" width="13.453125" style="44" bestFit="1" customWidth="1"/>
    <col min="9" max="9" width="14.81640625" style="44" bestFit="1" customWidth="1"/>
    <col min="10" max="10" width="18.453125" style="44" bestFit="1" customWidth="1"/>
    <col min="11" max="11" width="20.81640625" style="44" bestFit="1" customWidth="1"/>
    <col min="12" max="12" width="16.81640625" style="44" customWidth="1"/>
    <col min="13" max="13" width="10.453125" style="46" customWidth="1"/>
    <col min="14" max="16" width="10.453125" style="5" hidden="1" customWidth="1"/>
    <col min="17" max="17" width="10.453125" style="5" customWidth="1"/>
    <col min="18" max="16384" width="9.1796875" style="5"/>
  </cols>
  <sheetData>
    <row r="1" spans="1:16" ht="14.5"/>
    <row r="2" spans="1:16" ht="14.5"/>
    <row r="3" spans="1:16" ht="14.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6" ht="14.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6" ht="14.5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6" ht="14.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6" ht="14.5">
      <c r="A7" s="1"/>
      <c r="B7" s="1"/>
      <c r="C7" s="1"/>
      <c r="D7" s="1"/>
      <c r="E7" s="2"/>
      <c r="F7" s="6" t="s">
        <v>21</v>
      </c>
      <c r="G7" s="6"/>
      <c r="H7" s="6"/>
      <c r="I7" s="6"/>
      <c r="J7" s="2"/>
      <c r="K7" s="2"/>
      <c r="L7" s="2"/>
      <c r="M7" s="4"/>
    </row>
    <row r="8" spans="1:16" ht="14.5">
      <c r="A8" s="1"/>
      <c r="B8" s="1"/>
      <c r="C8" s="1"/>
      <c r="D8" s="1"/>
      <c r="E8" s="2"/>
      <c r="F8" s="6" t="s">
        <v>20</v>
      </c>
      <c r="G8" s="2"/>
      <c r="H8" s="2"/>
      <c r="I8" s="2"/>
      <c r="J8" s="2"/>
      <c r="K8" s="2"/>
      <c r="L8" s="2"/>
      <c r="M8" s="4"/>
    </row>
    <row r="9" spans="1:16" ht="10.5" customHeight="1">
      <c r="A9" s="1"/>
      <c r="B9" s="1"/>
      <c r="C9" s="1"/>
      <c r="D9" s="1"/>
      <c r="E9" s="2"/>
      <c r="F9" s="3"/>
      <c r="G9" s="2"/>
      <c r="H9" s="2"/>
      <c r="I9" s="2"/>
      <c r="J9" s="2"/>
      <c r="K9" s="2"/>
      <c r="L9" s="2"/>
      <c r="M9" s="4"/>
    </row>
    <row r="10" spans="1:16" ht="14.5">
      <c r="A10" s="1"/>
      <c r="B10" s="1"/>
      <c r="C10" s="1"/>
      <c r="D10" s="1"/>
      <c r="E10" s="2"/>
      <c r="F10" s="7" t="s">
        <v>0</v>
      </c>
      <c r="G10" s="8">
        <v>100</v>
      </c>
      <c r="H10" s="2"/>
      <c r="I10" s="2"/>
      <c r="J10" s="55" t="s">
        <v>1</v>
      </c>
      <c r="K10" s="55"/>
      <c r="L10" s="9">
        <f>+XIRR(L16:L23,F16:F23)</f>
        <v>6.1239644885063171E-2</v>
      </c>
      <c r="M10" s="10"/>
    </row>
    <row r="11" spans="1:16" ht="14.5">
      <c r="A11" s="1"/>
      <c r="B11" s="1"/>
      <c r="C11" s="1"/>
      <c r="D11" s="1"/>
      <c r="E11" s="2"/>
      <c r="F11" s="7" t="s">
        <v>2</v>
      </c>
      <c r="G11" s="11">
        <v>45440</v>
      </c>
      <c r="H11" s="2"/>
      <c r="I11" s="2"/>
      <c r="J11" s="55" t="s">
        <v>22</v>
      </c>
      <c r="K11" s="55"/>
      <c r="L11" s="9">
        <f>+(((1+L10)^(1/4)-1)*4)</f>
        <v>5.9881501647498503E-2</v>
      </c>
      <c r="M11" s="10"/>
    </row>
    <row r="12" spans="1:16" ht="14.5">
      <c r="A12" s="1"/>
      <c r="B12" s="1"/>
      <c r="C12" s="1"/>
      <c r="D12" s="1"/>
      <c r="E12" s="2"/>
      <c r="F12" s="50" t="s">
        <v>19</v>
      </c>
      <c r="G12" s="9">
        <v>0.06</v>
      </c>
      <c r="H12" s="2"/>
      <c r="I12" s="2"/>
      <c r="J12" s="55" t="s">
        <v>3</v>
      </c>
      <c r="K12" s="55"/>
      <c r="L12" s="13">
        <f>+SUM(P17:P23)/(365/12)</f>
        <v>22.843658999183582</v>
      </c>
      <c r="M12" s="12"/>
    </row>
    <row r="13" spans="1:16" ht="14.5">
      <c r="A13" s="1"/>
      <c r="B13" s="1"/>
      <c r="C13" s="1"/>
      <c r="D13" s="1"/>
      <c r="E13" s="2"/>
      <c r="F13" s="50" t="s">
        <v>4</v>
      </c>
      <c r="G13" s="14">
        <v>1.0000000031399316</v>
      </c>
      <c r="I13" s="6"/>
      <c r="J13" s="55" t="s">
        <v>17</v>
      </c>
      <c r="K13" s="55"/>
      <c r="L13" s="13">
        <f>+SUM(P17:P23)/(365)</f>
        <v>1.9036382499319653</v>
      </c>
      <c r="M13" s="15"/>
      <c r="N13" s="16"/>
    </row>
    <row r="14" spans="1:16" ht="15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17"/>
      <c r="N14" s="16"/>
    </row>
    <row r="15" spans="1:16" s="25" customFormat="1" ht="28.5" customHeight="1" thickBot="1">
      <c r="A15" s="18"/>
      <c r="B15" s="19"/>
      <c r="C15" s="19" t="s">
        <v>5</v>
      </c>
      <c r="D15" s="19"/>
      <c r="E15" s="20"/>
      <c r="F15" s="21" t="s">
        <v>6</v>
      </c>
      <c r="G15" s="21" t="s">
        <v>7</v>
      </c>
      <c r="H15" s="21" t="s">
        <v>8</v>
      </c>
      <c r="I15" s="21" t="s">
        <v>9</v>
      </c>
      <c r="J15" s="21" t="s">
        <v>10</v>
      </c>
      <c r="K15" s="21" t="s">
        <v>11</v>
      </c>
      <c r="L15" s="22" t="s">
        <v>12</v>
      </c>
      <c r="M15" s="23"/>
      <c r="N15" s="24" t="s">
        <v>13</v>
      </c>
      <c r="O15" s="24" t="s">
        <v>14</v>
      </c>
      <c r="P15" s="24" t="s">
        <v>15</v>
      </c>
    </row>
    <row r="16" spans="1:16" ht="14.5">
      <c r="A16" s="1"/>
      <c r="B16" s="26">
        <f>+D16</f>
        <v>45440</v>
      </c>
      <c r="C16" s="27">
        <f>+$G$12</f>
        <v>0.06</v>
      </c>
      <c r="D16" s="26">
        <f>+G11</f>
        <v>45440</v>
      </c>
      <c r="F16" s="28">
        <f>+G11</f>
        <v>45440</v>
      </c>
      <c r="G16" s="51">
        <f>+G10</f>
        <v>100</v>
      </c>
      <c r="H16" s="30"/>
      <c r="I16" s="29"/>
      <c r="J16" s="51"/>
      <c r="K16" s="51">
        <f>+G16-J16</f>
        <v>100</v>
      </c>
      <c r="L16" s="31">
        <f>-G16*G13</f>
        <v>-100.00000031399317</v>
      </c>
      <c r="M16" s="32"/>
      <c r="N16" s="33"/>
      <c r="O16" s="33"/>
    </row>
    <row r="17" spans="1:16" ht="14.5">
      <c r="A17" s="1"/>
      <c r="B17" s="26">
        <v>45624</v>
      </c>
      <c r="C17" s="27">
        <f t="shared" ref="C17:C23" si="0">+$G$12</f>
        <v>0.06</v>
      </c>
      <c r="D17" s="34">
        <f t="shared" ref="D17" si="1">+B17</f>
        <v>45624</v>
      </c>
      <c r="E17" s="53"/>
      <c r="F17" s="35">
        <f t="shared" ref="F17:F22" si="2">+D17</f>
        <v>45624</v>
      </c>
      <c r="G17" s="51">
        <f>K16</f>
        <v>100</v>
      </c>
      <c r="H17" s="36">
        <f>B17-B16</f>
        <v>184</v>
      </c>
      <c r="I17" s="29">
        <f>G17*$G$12*(H17/365)</f>
        <v>3.0246575342465754</v>
      </c>
      <c r="J17" s="51">
        <v>0</v>
      </c>
      <c r="K17" s="51">
        <f t="shared" ref="K16:K19" si="3">+G17-J17</f>
        <v>100</v>
      </c>
      <c r="L17" s="31">
        <f t="shared" ref="L17:L22" si="4">+I17+J17</f>
        <v>3.0246575342465754</v>
      </c>
      <c r="M17" s="32"/>
      <c r="N17" s="37">
        <f t="shared" ref="N17:N22" si="5">+L17/(1+$L$10)^((O17)/365)</f>
        <v>2.9353736636255618</v>
      </c>
      <c r="O17" s="38">
        <f t="shared" ref="O17:O22" si="6">+F17-$F$16</f>
        <v>184</v>
      </c>
      <c r="P17" s="39">
        <f t="shared" ref="P17:P22" si="7">+(N17/$N$24)*O17</f>
        <v>5.4010875235572247</v>
      </c>
    </row>
    <row r="18" spans="1:16" ht="14.5">
      <c r="A18" s="1"/>
      <c r="B18" s="26">
        <v>45716</v>
      </c>
      <c r="C18" s="27">
        <f t="shared" si="0"/>
        <v>0.06</v>
      </c>
      <c r="D18" s="34">
        <f>+B18</f>
        <v>45716</v>
      </c>
      <c r="E18" s="53"/>
      <c r="F18" s="35">
        <f t="shared" si="2"/>
        <v>45716</v>
      </c>
      <c r="G18" s="51">
        <f t="shared" ref="G18:G22" si="8">K17</f>
        <v>100</v>
      </c>
      <c r="H18" s="36">
        <f t="shared" ref="H18:H21" si="9">B18-B17</f>
        <v>92</v>
      </c>
      <c r="I18" s="29">
        <f t="shared" ref="I18:I22" si="10">G18*$G$12*(H18/365)</f>
        <v>1.5123287671232877</v>
      </c>
      <c r="J18" s="51">
        <v>0</v>
      </c>
      <c r="K18" s="51">
        <f t="shared" si="3"/>
        <v>100</v>
      </c>
      <c r="L18" s="31">
        <f t="shared" si="4"/>
        <v>1.5123287671232877</v>
      </c>
      <c r="M18" s="32"/>
      <c r="N18" s="37">
        <f t="shared" si="5"/>
        <v>1.4458624866262755</v>
      </c>
      <c r="O18" s="38">
        <f t="shared" si="6"/>
        <v>276</v>
      </c>
      <c r="P18" s="39">
        <f t="shared" si="7"/>
        <v>3.9905804501484847</v>
      </c>
    </row>
    <row r="19" spans="1:16" ht="14.5">
      <c r="A19" s="1"/>
      <c r="B19" s="26">
        <v>45805</v>
      </c>
      <c r="C19" s="27">
        <f t="shared" si="0"/>
        <v>0.06</v>
      </c>
      <c r="D19" s="34">
        <f>+B19</f>
        <v>45805</v>
      </c>
      <c r="E19" s="53"/>
      <c r="F19" s="35">
        <f t="shared" si="2"/>
        <v>45805</v>
      </c>
      <c r="G19" s="51">
        <f t="shared" si="8"/>
        <v>100</v>
      </c>
      <c r="H19" s="36">
        <f t="shared" si="9"/>
        <v>89</v>
      </c>
      <c r="I19" s="29">
        <f t="shared" si="10"/>
        <v>1.463013698630137</v>
      </c>
      <c r="J19" s="51">
        <v>0</v>
      </c>
      <c r="K19" s="51">
        <f t="shared" si="3"/>
        <v>100</v>
      </c>
      <c r="L19" s="31">
        <f t="shared" si="4"/>
        <v>1.463013698630137</v>
      </c>
      <c r="M19" s="32"/>
      <c r="N19" s="37">
        <f t="shared" si="5"/>
        <v>1.3785893748707321</v>
      </c>
      <c r="O19" s="38">
        <f t="shared" si="6"/>
        <v>365</v>
      </c>
      <c r="P19" s="39">
        <f t="shared" si="7"/>
        <v>5.0318512019616657</v>
      </c>
    </row>
    <row r="20" spans="1:16" ht="14.5">
      <c r="A20" s="1"/>
      <c r="B20" s="26">
        <v>45897</v>
      </c>
      <c r="C20" s="27">
        <f t="shared" si="0"/>
        <v>0.06</v>
      </c>
      <c r="D20" s="34">
        <f>+B20</f>
        <v>45897</v>
      </c>
      <c r="E20" s="53"/>
      <c r="F20" s="35">
        <f t="shared" si="2"/>
        <v>45897</v>
      </c>
      <c r="G20" s="51">
        <f t="shared" si="8"/>
        <v>100</v>
      </c>
      <c r="H20" s="36">
        <f t="shared" si="9"/>
        <v>92</v>
      </c>
      <c r="I20" s="29">
        <f t="shared" si="10"/>
        <v>1.5123287671232877</v>
      </c>
      <c r="J20" s="51">
        <v>0</v>
      </c>
      <c r="K20" s="51">
        <f t="shared" ref="K20:K22" si="11">+G20-J20</f>
        <v>100</v>
      </c>
      <c r="L20" s="31">
        <f t="shared" si="4"/>
        <v>1.5123287671232877</v>
      </c>
      <c r="M20" s="32"/>
      <c r="N20" s="37">
        <f t="shared" si="5"/>
        <v>1.403868210488838</v>
      </c>
      <c r="O20" s="38">
        <f t="shared" si="6"/>
        <v>457</v>
      </c>
      <c r="P20" s="39">
        <f t="shared" si="7"/>
        <v>6.4156777011302246</v>
      </c>
    </row>
    <row r="21" spans="1:16" ht="14.5">
      <c r="A21" s="1"/>
      <c r="B21" s="26">
        <v>45989</v>
      </c>
      <c r="C21" s="27">
        <f t="shared" si="0"/>
        <v>0.06</v>
      </c>
      <c r="D21" s="34">
        <f>+B21</f>
        <v>45989</v>
      </c>
      <c r="E21" s="53"/>
      <c r="F21" s="35">
        <f t="shared" si="2"/>
        <v>45989</v>
      </c>
      <c r="G21" s="51">
        <f t="shared" si="8"/>
        <v>100</v>
      </c>
      <c r="H21" s="36">
        <f t="shared" si="9"/>
        <v>92</v>
      </c>
      <c r="I21" s="29">
        <f t="shared" si="10"/>
        <v>1.5123287671232877</v>
      </c>
      <c r="J21" s="51">
        <v>0</v>
      </c>
      <c r="K21" s="51">
        <f t="shared" si="11"/>
        <v>100</v>
      </c>
      <c r="L21" s="31">
        <f t="shared" si="4"/>
        <v>1.5123287671232877</v>
      </c>
      <c r="M21" s="32"/>
      <c r="N21" s="37">
        <f t="shared" si="5"/>
        <v>1.382992841331081</v>
      </c>
      <c r="O21" s="38">
        <f t="shared" si="6"/>
        <v>549</v>
      </c>
      <c r="P21" s="39">
        <f t="shared" si="7"/>
        <v>7.5926306742874301</v>
      </c>
    </row>
    <row r="22" spans="1:16" ht="14.5">
      <c r="A22" s="1"/>
      <c r="B22" s="26">
        <v>46081</v>
      </c>
      <c r="C22" s="27">
        <f t="shared" si="0"/>
        <v>0.06</v>
      </c>
      <c r="D22" s="34">
        <f>+B22-1</f>
        <v>46080</v>
      </c>
      <c r="E22" s="53"/>
      <c r="F22" s="35">
        <f t="shared" si="2"/>
        <v>46080</v>
      </c>
      <c r="G22" s="51">
        <f t="shared" si="8"/>
        <v>100</v>
      </c>
      <c r="H22" s="36">
        <f>D22-D21</f>
        <v>91</v>
      </c>
      <c r="I22" s="29">
        <f t="shared" si="10"/>
        <v>1.4958904109589042</v>
      </c>
      <c r="J22" s="51">
        <v>0</v>
      </c>
      <c r="K22" s="51">
        <f t="shared" si="11"/>
        <v>100</v>
      </c>
      <c r="L22" s="31">
        <f t="shared" si="4"/>
        <v>1.4958904109589042</v>
      </c>
      <c r="M22" s="32"/>
      <c r="N22" s="37">
        <f t="shared" si="5"/>
        <v>1.3478383560914042</v>
      </c>
      <c r="O22" s="38">
        <f t="shared" si="6"/>
        <v>640</v>
      </c>
      <c r="P22" s="39">
        <f t="shared" si="7"/>
        <v>8.6261654510133958</v>
      </c>
    </row>
    <row r="23" spans="1:16" ht="15" thickBot="1">
      <c r="A23" s="1"/>
      <c r="B23" s="26">
        <v>46170</v>
      </c>
      <c r="C23" s="27">
        <f t="shared" si="0"/>
        <v>0.06</v>
      </c>
      <c r="D23" s="34">
        <f>+B23</f>
        <v>46170</v>
      </c>
      <c r="E23" s="53"/>
      <c r="F23" s="35">
        <f t="shared" ref="F23" si="12">+D23</f>
        <v>46170</v>
      </c>
      <c r="G23" s="51">
        <f>K22</f>
        <v>100</v>
      </c>
      <c r="H23" s="36">
        <f>D23-D22</f>
        <v>90</v>
      </c>
      <c r="I23" s="29">
        <f t="shared" ref="I23" si="13">G23*$G$12*(H23/365)</f>
        <v>1.4794520547945205</v>
      </c>
      <c r="J23" s="51">
        <f>G23</f>
        <v>100</v>
      </c>
      <c r="K23" s="51">
        <f t="shared" ref="K23" si="14">+G23-J23</f>
        <v>0</v>
      </c>
      <c r="L23" s="31">
        <f t="shared" ref="L23" si="15">+I23+J23</f>
        <v>101.47945205479452</v>
      </c>
      <c r="M23" s="32"/>
      <c r="N23" s="37">
        <f t="shared" ref="N23" si="16">+L23/(1+$L$10)^((O23)/365)</f>
        <v>90.105475391230598</v>
      </c>
      <c r="O23" s="38">
        <f>+F23-$F$16</f>
        <v>730</v>
      </c>
      <c r="P23" s="39">
        <f>+(N23/$N$24)*O23</f>
        <v>657.76996822306887</v>
      </c>
    </row>
    <row r="24" spans="1:16" ht="15" thickBot="1">
      <c r="A24" s="1"/>
      <c r="B24" s="40"/>
      <c r="C24" s="27"/>
      <c r="D24" s="1"/>
      <c r="E24" s="53"/>
      <c r="F24" s="56" t="s">
        <v>16</v>
      </c>
      <c r="G24" s="57"/>
      <c r="H24" s="58"/>
      <c r="I24" s="41">
        <f>SUM(I17:I23)</f>
        <v>12</v>
      </c>
      <c r="J24" s="52">
        <f>SUM(J17:J23)</f>
        <v>100</v>
      </c>
      <c r="K24" s="52"/>
      <c r="L24" s="42">
        <f>SUM(L16:L23)</f>
        <v>11.999999686006845</v>
      </c>
      <c r="M24" s="4"/>
      <c r="N24" s="43">
        <f>SUM(N17:N23)</f>
        <v>100.00000032426449</v>
      </c>
    </row>
    <row r="25" spans="1:16" ht="15" customHeight="1">
      <c r="E25" s="53"/>
    </row>
    <row r="26" spans="1:16" s="47" customFormat="1" ht="37.5" customHeight="1">
      <c r="E26" s="48"/>
      <c r="F26" s="54" t="s">
        <v>18</v>
      </c>
      <c r="G26" s="54"/>
      <c r="H26" s="54"/>
      <c r="I26" s="54"/>
      <c r="J26" s="54"/>
      <c r="K26" s="54"/>
      <c r="L26" s="54"/>
      <c r="M26" s="49"/>
    </row>
    <row r="27" spans="1:16" ht="15" customHeight="1"/>
    <row r="28" spans="1:16" ht="15" customHeight="1"/>
    <row r="29" spans="1:16" ht="15" customHeight="1"/>
    <row r="30" spans="1:16" ht="15" customHeight="1"/>
    <row r="31" spans="1:16" ht="15" customHeight="1"/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</sheetData>
  <sheetProtection algorithmName="SHA-512" hashValue="cNrGiuAjpLoE4Xy1bBpPS2frHmguehbzJeaYPZxR51QjhzXfcv8MnVm33xzk/P4NZy/pOL3szM5E2KQNmNG5fA==" saltValue="dkGXliWPrHKOspaf2O5i2A==" spinCount="100000" sheet="1" selectLockedCells="1"/>
  <mergeCells count="6">
    <mergeCell ref="F26:L26"/>
    <mergeCell ref="J10:K10"/>
    <mergeCell ref="J11:K11"/>
    <mergeCell ref="J12:K12"/>
    <mergeCell ref="J13:K13"/>
    <mergeCell ref="F24:H24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ignoredErrors>
    <ignoredError sqref="D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Clase XXIX</vt:lpstr>
      <vt:lpstr>'ON Clase XXIX'!Área_de_impresión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tic allaria</cp:lastModifiedBy>
  <dcterms:created xsi:type="dcterms:W3CDTF">2021-09-15T11:57:40Z</dcterms:created>
  <dcterms:modified xsi:type="dcterms:W3CDTF">2024-05-21T15:47:47Z</dcterms:modified>
</cp:coreProperties>
</file>