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files2\Compartida\Finanzas Corporativas\EMPRESAS\Laboratorios Richmond S.A\Serie VI\"/>
    </mc:Choice>
  </mc:AlternateContent>
  <xr:revisionPtr revIDLastSave="0" documentId="13_ncr:1_{74BEB6EA-BC63-497D-8E41-10DFD64F9DAF}" xr6:coauthVersionLast="47" xr6:coauthVersionMax="47" xr10:uidLastSave="{00000000-0000-0000-0000-000000000000}"/>
  <bookViews>
    <workbookView xWindow="-120" yWindow="-120" windowWidth="29040" windowHeight="15840" xr2:uid="{D7FBD7F0-4158-44F8-BAC7-F1D02ACA8CA8}"/>
  </bookViews>
  <sheets>
    <sheet name="Clase A" sheetId="2" r:id="rId1"/>
    <sheet name="Clase B" sheetId="5" r:id="rId2"/>
    <sheet name="Clase C" sheetId="3" r:id="rId3"/>
  </sheets>
  <definedNames>
    <definedName name="_xlnm.Print_Area" localSheetId="0">'Clase A'!$A$4:$Q$19</definedName>
    <definedName name="_xlnm.Print_Area" localSheetId="1">'Clase B'!$A$4:$P$19</definedName>
    <definedName name="_xlnm.Print_Area" localSheetId="2">'Clase C'!$A$4:$P$19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3" l="1"/>
  <c r="I26" i="3"/>
  <c r="H20" i="3"/>
  <c r="J25" i="3"/>
  <c r="J23" i="3"/>
  <c r="H25" i="3"/>
  <c r="H19" i="3"/>
  <c r="H21" i="3"/>
  <c r="H22" i="3"/>
  <c r="H23" i="3"/>
  <c r="H24" i="3"/>
  <c r="H18" i="3"/>
  <c r="H25" i="5"/>
  <c r="H19" i="5"/>
  <c r="H20" i="5"/>
  <c r="H21" i="5"/>
  <c r="H22" i="5"/>
  <c r="H23" i="5"/>
  <c r="H24" i="5"/>
  <c r="H18" i="5"/>
  <c r="H23" i="2"/>
  <c r="H19" i="2"/>
  <c r="H20" i="2"/>
  <c r="H21" i="2"/>
  <c r="H22" i="2"/>
  <c r="H18" i="2"/>
  <c r="J23" i="2"/>
  <c r="J22" i="2"/>
  <c r="J21" i="2"/>
  <c r="C17" i="2" l="1"/>
  <c r="J25" i="5"/>
  <c r="D25" i="5"/>
  <c r="F25" i="5" s="1"/>
  <c r="C25" i="5"/>
  <c r="J24" i="5"/>
  <c r="D24" i="5"/>
  <c r="F24" i="5" s="1"/>
  <c r="C24" i="5"/>
  <c r="J23" i="5"/>
  <c r="D23" i="5"/>
  <c r="F23" i="5" s="1"/>
  <c r="C23" i="5"/>
  <c r="D22" i="5"/>
  <c r="F22" i="5" s="1"/>
  <c r="C22" i="5"/>
  <c r="D21" i="5"/>
  <c r="F21" i="5" s="1"/>
  <c r="C21" i="5"/>
  <c r="D20" i="5"/>
  <c r="C20" i="5"/>
  <c r="D19" i="5"/>
  <c r="F19" i="5" s="1"/>
  <c r="C19" i="5"/>
  <c r="D18" i="5"/>
  <c r="F18" i="5" s="1"/>
  <c r="C18" i="5"/>
  <c r="G17" i="5"/>
  <c r="C17" i="5"/>
  <c r="G10" i="5"/>
  <c r="F17" i="5" s="1"/>
  <c r="C25" i="3"/>
  <c r="C24" i="3"/>
  <c r="C23" i="3"/>
  <c r="C22" i="3"/>
  <c r="C21" i="3"/>
  <c r="C20" i="3"/>
  <c r="C19" i="3"/>
  <c r="C18" i="3"/>
  <c r="C17" i="3"/>
  <c r="D25" i="3"/>
  <c r="F25" i="3" s="1"/>
  <c r="D24" i="3"/>
  <c r="F24" i="3" s="1"/>
  <c r="D23" i="3"/>
  <c r="P18" i="2"/>
  <c r="P23" i="2"/>
  <c r="G17" i="2"/>
  <c r="F23" i="2"/>
  <c r="D23" i="2"/>
  <c r="C23" i="2"/>
  <c r="G10" i="3"/>
  <c r="D17" i="3" s="1"/>
  <c r="D22" i="3"/>
  <c r="D21" i="3"/>
  <c r="D20" i="3"/>
  <c r="D19" i="3"/>
  <c r="F19" i="3" s="1"/>
  <c r="D18" i="3"/>
  <c r="F18" i="3" s="1"/>
  <c r="G17" i="3"/>
  <c r="L17" i="3" s="1"/>
  <c r="F17" i="3"/>
  <c r="J24" i="2" l="1"/>
  <c r="O24" i="3"/>
  <c r="J26" i="5"/>
  <c r="K17" i="5"/>
  <c r="G18" i="5" s="1"/>
  <c r="K18" i="5" s="1"/>
  <c r="G19" i="5" s="1"/>
  <c r="L17" i="5"/>
  <c r="O25" i="3"/>
  <c r="O18" i="3"/>
  <c r="O19" i="5"/>
  <c r="D17" i="5"/>
  <c r="B17" i="5" s="1"/>
  <c r="O22" i="5"/>
  <c r="O18" i="5"/>
  <c r="O21" i="5"/>
  <c r="O23" i="5"/>
  <c r="O24" i="5"/>
  <c r="O25" i="5"/>
  <c r="F20" i="5"/>
  <c r="O20" i="5" s="1"/>
  <c r="F23" i="3"/>
  <c r="O23" i="3" s="1"/>
  <c r="K17" i="3"/>
  <c r="G18" i="3" s="1"/>
  <c r="K18" i="3" s="1"/>
  <c r="G19" i="3" s="1"/>
  <c r="I19" i="3" s="1"/>
  <c r="B17" i="3"/>
  <c r="F20" i="3"/>
  <c r="O20" i="3" s="1"/>
  <c r="F21" i="3"/>
  <c r="O21" i="3" s="1"/>
  <c r="F22" i="3"/>
  <c r="O22" i="3" s="1"/>
  <c r="O19" i="3"/>
  <c r="I18" i="5" l="1"/>
  <c r="L18" i="5" s="1"/>
  <c r="K19" i="5"/>
  <c r="G20" i="5" s="1"/>
  <c r="I19" i="5"/>
  <c r="L19" i="5" s="1"/>
  <c r="I18" i="3"/>
  <c r="K19" i="3"/>
  <c r="G20" i="3" s="1"/>
  <c r="I20" i="3" s="1"/>
  <c r="L19" i="3"/>
  <c r="D22" i="2"/>
  <c r="F22" i="2" s="1"/>
  <c r="D21" i="2"/>
  <c r="D20" i="2"/>
  <c r="C20" i="2"/>
  <c r="D18" i="2"/>
  <c r="D19" i="2"/>
  <c r="F19" i="2" s="1"/>
  <c r="C22" i="2"/>
  <c r="C21" i="2"/>
  <c r="C19" i="2"/>
  <c r="F18" i="2"/>
  <c r="C18" i="2"/>
  <c r="K17" i="2"/>
  <c r="G18" i="2" s="1"/>
  <c r="K18" i="2" s="1"/>
  <c r="G19" i="2" s="1"/>
  <c r="F17" i="2"/>
  <c r="D17" i="2"/>
  <c r="B17" i="2" s="1"/>
  <c r="L18" i="3" l="1"/>
  <c r="I20" i="5"/>
  <c r="K20" i="5"/>
  <c r="G21" i="5" s="1"/>
  <c r="F21" i="2"/>
  <c r="P21" i="2" s="1"/>
  <c r="F20" i="2"/>
  <c r="P20" i="2" s="1"/>
  <c r="K20" i="3"/>
  <c r="G21" i="3" s="1"/>
  <c r="I21" i="3" s="1"/>
  <c r="K19" i="2"/>
  <c r="G20" i="2" s="1"/>
  <c r="I19" i="2"/>
  <c r="L19" i="2" s="1"/>
  <c r="P22" i="2"/>
  <c r="P19" i="2"/>
  <c r="I18" i="2"/>
  <c r="L17" i="2"/>
  <c r="I21" i="5" l="1"/>
  <c r="L21" i="5" s="1"/>
  <c r="K21" i="5"/>
  <c r="G22" i="5" s="1"/>
  <c r="L20" i="5"/>
  <c r="L20" i="3"/>
  <c r="K21" i="3"/>
  <c r="G22" i="3" s="1"/>
  <c r="I22" i="3" s="1"/>
  <c r="L21" i="3"/>
  <c r="L18" i="2"/>
  <c r="K22" i="5" l="1"/>
  <c r="G23" i="5" s="1"/>
  <c r="I22" i="5"/>
  <c r="K22" i="3"/>
  <c r="G23" i="3" s="1"/>
  <c r="L22" i="3"/>
  <c r="K23" i="5" l="1"/>
  <c r="G24" i="5" s="1"/>
  <c r="I23" i="5"/>
  <c r="L23" i="5" s="1"/>
  <c r="L22" i="5"/>
  <c r="K23" i="3"/>
  <c r="G24" i="3" s="1"/>
  <c r="I23" i="3"/>
  <c r="L23" i="3" s="1"/>
  <c r="K20" i="2"/>
  <c r="I20" i="2"/>
  <c r="K24" i="5" l="1"/>
  <c r="G25" i="5" s="1"/>
  <c r="I24" i="5"/>
  <c r="K24" i="3"/>
  <c r="G25" i="3" s="1"/>
  <c r="I24" i="3"/>
  <c r="L24" i="3" s="1"/>
  <c r="L20" i="2"/>
  <c r="G21" i="2"/>
  <c r="L24" i="5" l="1"/>
  <c r="K25" i="5"/>
  <c r="I25" i="5"/>
  <c r="L25" i="5" s="1"/>
  <c r="L9" i="5" s="1"/>
  <c r="K25" i="3"/>
  <c r="I25" i="3"/>
  <c r="K21" i="2"/>
  <c r="G22" i="2" s="1"/>
  <c r="I21" i="2"/>
  <c r="L26" i="5" l="1"/>
  <c r="I26" i="5"/>
  <c r="N24" i="5"/>
  <c r="L25" i="3"/>
  <c r="L21" i="2"/>
  <c r="K22" i="2"/>
  <c r="G23" i="2" s="1"/>
  <c r="I22" i="2"/>
  <c r="L26" i="3" l="1"/>
  <c r="L9" i="3"/>
  <c r="L10" i="3" s="1"/>
  <c r="L10" i="5"/>
  <c r="N19" i="5"/>
  <c r="N18" i="5"/>
  <c r="N20" i="5"/>
  <c r="N21" i="5"/>
  <c r="N22" i="5"/>
  <c r="N23" i="5"/>
  <c r="N25" i="5"/>
  <c r="K23" i="2"/>
  <c r="I23" i="2"/>
  <c r="L22" i="2"/>
  <c r="N26" i="5" l="1"/>
  <c r="Q25" i="5" s="1"/>
  <c r="N23" i="3"/>
  <c r="N19" i="3"/>
  <c r="N24" i="3"/>
  <c r="N25" i="3"/>
  <c r="N22" i="3"/>
  <c r="N20" i="3"/>
  <c r="N21" i="3"/>
  <c r="N18" i="3"/>
  <c r="L23" i="2"/>
  <c r="L9" i="2" s="1"/>
  <c r="O20" i="2" s="1"/>
  <c r="I24" i="2"/>
  <c r="N26" i="3" l="1"/>
  <c r="L13" i="3" s="1"/>
  <c r="O18" i="2"/>
  <c r="O21" i="2"/>
  <c r="O23" i="2"/>
  <c r="L10" i="2"/>
  <c r="O22" i="2"/>
  <c r="O19" i="2"/>
  <c r="L24" i="2"/>
  <c r="Q21" i="5"/>
  <c r="Q23" i="5"/>
  <c r="Q20" i="5"/>
  <c r="Q18" i="5"/>
  <c r="Q24" i="5"/>
  <c r="Q22" i="5"/>
  <c r="Q19" i="5"/>
  <c r="Q19" i="3" l="1"/>
  <c r="Q18" i="3"/>
  <c r="Q22" i="3"/>
  <c r="Q25" i="3"/>
  <c r="Q23" i="3"/>
  <c r="Q20" i="3"/>
  <c r="Q24" i="3"/>
  <c r="Q21" i="3"/>
  <c r="L11" i="5"/>
  <c r="O24" i="2"/>
  <c r="R23" i="2" s="1"/>
  <c r="L12" i="5"/>
  <c r="L11" i="3" l="1"/>
  <c r="L12" i="3" s="1"/>
  <c r="L13" i="2"/>
  <c r="R20" i="2"/>
  <c r="R18" i="2"/>
  <c r="R19" i="2"/>
  <c r="R21" i="2"/>
  <c r="R22" i="2"/>
  <c r="L11" i="2" l="1"/>
  <c r="L12" i="2" s="1"/>
</calcChain>
</file>

<file path=xl/sharedStrings.xml><?xml version="1.0" encoding="utf-8"?>
<sst xmlns="http://schemas.openxmlformats.org/spreadsheetml/2006/main" count="72" uniqueCount="45">
  <si>
    <t>VN (AR$)</t>
  </si>
  <si>
    <t>TIR</t>
  </si>
  <si>
    <t>Fecha de Emisión y Liquidación</t>
  </si>
  <si>
    <t>TNA (90 d)</t>
  </si>
  <si>
    <t>Duration (meses)</t>
  </si>
  <si>
    <t>Margen a Licitar</t>
  </si>
  <si>
    <t>Precio</t>
  </si>
  <si>
    <t>Tasa de cupon</t>
  </si>
  <si>
    <t>Fecha de Pago</t>
  </si>
  <si>
    <t>Capital (AR$)</t>
  </si>
  <si>
    <t>Días Intereses</t>
  </si>
  <si>
    <t>Intereses (AR$)</t>
  </si>
  <si>
    <t>Amortización (AR$)</t>
  </si>
  <si>
    <t>Capital Residual (AR$)</t>
  </si>
  <si>
    <t>Flujo (AR$)</t>
  </si>
  <si>
    <t>VA Flujo</t>
  </si>
  <si>
    <t>Días Flujo</t>
  </si>
  <si>
    <t>Duration</t>
  </si>
  <si>
    <t>Totales</t>
  </si>
  <si>
    <t>Pesos Badlar - 18 meses</t>
  </si>
  <si>
    <t>ON Laboratorios Richmond S.A.C.I. y F. Serie VI Clase A</t>
  </si>
  <si>
    <t>ON Laboratorios Richmond S.A.C.I. y F. Serie VI Clase B</t>
  </si>
  <si>
    <t>ON Laboratorios Richmond S.A.C.I. y F. Serie VI Clase C</t>
  </si>
  <si>
    <t>UVA - 24 meses</t>
  </si>
  <si>
    <t>Dólar Linked - 24 meses</t>
  </si>
  <si>
    <t>Tipo de cambio inicial</t>
  </si>
  <si>
    <t>Tasa a Licitar</t>
  </si>
  <si>
    <t>Valor UVA Inicial</t>
  </si>
  <si>
    <t>Precio a licitar</t>
  </si>
  <si>
    <t>Duration (años)</t>
  </si>
  <si>
    <t>Badlar Proyectada</t>
  </si>
  <si>
    <t>Capital (USD)</t>
  </si>
  <si>
    <t>Intereses (USD)</t>
  </si>
  <si>
    <t>Amortización (USD)</t>
  </si>
  <si>
    <t>Capital Residual (USD)</t>
  </si>
  <si>
    <t>Flujo (USD)</t>
  </si>
  <si>
    <t>Capital (UVA)</t>
  </si>
  <si>
    <t>Intereses (UVA)</t>
  </si>
  <si>
    <t>Amortización (UVA)</t>
  </si>
  <si>
    <t>Capital Residual (UVA)</t>
  </si>
  <si>
    <t>Flujo (UVA)</t>
  </si>
  <si>
    <t>VN (USD)</t>
  </si>
  <si>
    <t>VN (UVA)</t>
  </si>
  <si>
    <t>Tasa Cupón</t>
  </si>
  <si>
    <t xml:space="preserve">Esta planilla de cálculo es meramente orientativa y los resultados que esta arroje no serán vinculantes. El Interesado deberá, a los efectos de la suscripción de las Obligaciones Negociables, basarse en sus propios cálculos y evaluación de los Términos y Condiciones de las Obligaciones Negociables descriptos en el Suplemento de Prospecto que ha tenido a su disposición.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</si>
</sst>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-&quot;$&quot;\ * #,##0.00_-;\-&quot;$&quot;\ * #,##0.00_-;_-&quot;$&quot;\ * &quot;-&quot;??_-;_-@_-"/>
    <numFmt numFmtId="165" formatCode="[$-C0A]d\-mmm\-yy;@"/>
    <numFmt numFmtId="166" formatCode="_ * #,##0.00_ ;_ * \-#,##0.00_ ;_ * &quot;-&quot;??_ ;_ @_ "/>
    <numFmt numFmtId="167" formatCode="_ * #,##0_ ;_ * \-#,##0_ ;_ * &quot;-&quot;??_ ;_ @_ "/>
    <numFmt numFmtId="168" formatCode="[$-2C0A]dddd\,\ dd&quot; de &quot;mmmm&quot; de &quot;yyyy;@"/>
    <numFmt numFmtId="169" formatCode="_ &quot;$&quot;\ * #,##0.0_ ;_ &quot;$&quot;\ * \-#,##0.0_ ;_ &quot;$&quot;\ * &quot;-&quot;_ ;_ @_ "/>
    <numFmt numFmtId="170" formatCode="_ &quot;$&quot;\ * #,##0.00_ ;_ &quot;$&quot;\ * \-#,##0.00_ ;_ &quot;$&quot;\ * &quot;-&quot;??_ ;_ @_ "/>
    <numFmt numFmtId="171" formatCode="_ &quot;$&quot;\ * #,##0_ ;_ &quot;$&quot;\ * \-#,##0_ ;_ &quot;$&quot;\ * &quot;-&quot;??_ ;_ @_ "/>
    <numFmt numFmtId="172" formatCode="_ * #,##0.0_ ;_ * \-#,##0.0_ ;_ * &quot;-&quot;?_ ;_ @_ "/>
    <numFmt numFmtId="173" formatCode="_-* #,##0_-;\-* #,##0_-;_-* &quot;-&quot;??_-;_-@_-"/>
    <numFmt numFmtId="174" formatCode="0.0000%"/>
    <numFmt numFmtId="175" formatCode="0.000%"/>
    <numFmt numFmtId="176" formatCode="_-&quot;$&quot;\ * #,##0.0000_-;\-&quot;$&quot;\ * #,##0.0000_-;_-&quot;$&quot;\ * &quot;-&quot;??_-;_-@_-"/>
  </numFmts>
  <fonts count="15">
    <font>
      <sz val="10"/>
      <name val="Arial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b/>
      <sz val="11"/>
      <name val="Stag Sans Bold"/>
      <family val="2"/>
    </font>
    <font>
      <sz val="11"/>
      <name val="Stag Sans Medium"/>
      <family val="2"/>
    </font>
    <font>
      <b/>
      <sz val="11"/>
      <name val="Stag Sans Medium"/>
    </font>
    <font>
      <sz val="11"/>
      <color indexed="8"/>
      <name val="verdana"/>
      <family val="2"/>
    </font>
    <font>
      <b/>
      <i/>
      <sz val="9"/>
      <color theme="1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664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12" fillId="0" borderId="0"/>
    <xf numFmtId="170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4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2" applyFont="1" applyProtection="1">
      <protection hidden="1"/>
    </xf>
    <xf numFmtId="165" fontId="3" fillId="0" borderId="0" xfId="2" applyNumberFormat="1" applyFont="1" applyProtection="1">
      <protection hidden="1"/>
    </xf>
    <xf numFmtId="0" fontId="4" fillId="2" borderId="0" xfId="2" applyFont="1" applyFill="1" applyProtection="1">
      <protection hidden="1"/>
    </xf>
    <xf numFmtId="0" fontId="4" fillId="0" borderId="0" xfId="2" applyFont="1" applyProtection="1">
      <protection hidden="1"/>
    </xf>
    <xf numFmtId="0" fontId="4" fillId="0" borderId="0" xfId="2" applyFont="1"/>
    <xf numFmtId="0" fontId="5" fillId="0" borderId="0" xfId="2" applyFont="1" applyProtection="1">
      <protection hidden="1"/>
    </xf>
    <xf numFmtId="0" fontId="5" fillId="0" borderId="0" xfId="0" applyFont="1" applyProtection="1">
      <protection hidden="1"/>
    </xf>
    <xf numFmtId="165" fontId="6" fillId="3" borderId="1" xfId="2" applyNumberFormat="1" applyFont="1" applyFill="1" applyBorder="1" applyAlignment="1" applyProtection="1">
      <alignment horizontal="left"/>
      <protection hidden="1"/>
    </xf>
    <xf numFmtId="167" fontId="7" fillId="4" borderId="1" xfId="3" applyNumberFormat="1" applyFont="1" applyFill="1" applyBorder="1" applyProtection="1">
      <protection locked="0" hidden="1"/>
    </xf>
    <xf numFmtId="10" fontId="7" fillId="5" borderId="1" xfId="1" applyNumberFormat="1" applyFont="1" applyFill="1" applyBorder="1" applyProtection="1">
      <protection hidden="1"/>
    </xf>
    <xf numFmtId="10" fontId="8" fillId="2" borderId="0" xfId="1" applyNumberFormat="1" applyFont="1" applyFill="1" applyBorder="1" applyProtection="1">
      <protection hidden="1"/>
    </xf>
    <xf numFmtId="14" fontId="7" fillId="5" borderId="1" xfId="2" applyNumberFormat="1" applyFont="1" applyFill="1" applyBorder="1" applyProtection="1">
      <protection hidden="1"/>
    </xf>
    <xf numFmtId="166" fontId="8" fillId="2" borderId="0" xfId="3" applyFont="1" applyFill="1" applyBorder="1" applyProtection="1">
      <protection hidden="1"/>
    </xf>
    <xf numFmtId="10" fontId="7" fillId="4" borderId="1" xfId="1" applyNumberFormat="1" applyFont="1" applyFill="1" applyBorder="1" applyProtection="1">
      <protection locked="0" hidden="1"/>
    </xf>
    <xf numFmtId="166" fontId="7" fillId="5" borderId="1" xfId="3" applyFont="1" applyFill="1" applyBorder="1" applyProtection="1">
      <protection hidden="1"/>
    </xf>
    <xf numFmtId="10" fontId="3" fillId="0" borderId="0" xfId="2" applyNumberFormat="1" applyFont="1" applyProtection="1">
      <protection hidden="1"/>
    </xf>
    <xf numFmtId="0" fontId="9" fillId="2" borderId="0" xfId="2" applyFont="1" applyFill="1" applyAlignment="1" applyProtection="1">
      <alignment horizontal="center"/>
      <protection hidden="1"/>
    </xf>
    <xf numFmtId="0" fontId="10" fillId="0" borderId="0" xfId="2" applyFont="1" applyProtection="1">
      <protection hidden="1"/>
    </xf>
    <xf numFmtId="0" fontId="4" fillId="2" borderId="0" xfId="2" applyFont="1" applyFill="1"/>
    <xf numFmtId="0" fontId="3" fillId="2" borderId="0" xfId="2" applyFont="1" applyFill="1" applyProtection="1">
      <protection hidden="1"/>
    </xf>
    <xf numFmtId="165" fontId="6" fillId="2" borderId="0" xfId="2" applyNumberFormat="1" applyFont="1" applyFill="1" applyAlignment="1" applyProtection="1">
      <alignment horizontal="left"/>
      <protection hidden="1"/>
    </xf>
    <xf numFmtId="9" fontId="7" fillId="2" borderId="0" xfId="1" applyFont="1" applyFill="1" applyBorder="1" applyProtection="1">
      <protection hidden="1"/>
    </xf>
    <xf numFmtId="10" fontId="3" fillId="2" borderId="0" xfId="2" applyNumberFormat="1" applyFont="1" applyFill="1" applyProtection="1">
      <protection hidden="1"/>
    </xf>
    <xf numFmtId="0" fontId="5" fillId="2" borderId="0" xfId="2" applyFont="1" applyFill="1" applyAlignment="1" applyProtection="1">
      <alignment horizontal="center"/>
      <protection hidden="1"/>
    </xf>
    <xf numFmtId="0" fontId="10" fillId="2" borderId="0" xfId="2" applyFont="1" applyFill="1" applyProtection="1">
      <protection hidden="1"/>
    </xf>
    <xf numFmtId="165" fontId="11" fillId="0" borderId="4" xfId="2" applyNumberFormat="1" applyFont="1" applyBorder="1" applyAlignment="1">
      <alignment horizontal="center" vertical="center" wrapText="1"/>
    </xf>
    <xf numFmtId="165" fontId="5" fillId="0" borderId="0" xfId="2" applyNumberFormat="1" applyFont="1" applyAlignment="1" applyProtection="1">
      <alignment horizontal="center" vertical="center" wrapText="1"/>
      <protection hidden="1"/>
    </xf>
    <xf numFmtId="0" fontId="1" fillId="6" borderId="5" xfId="4" applyFont="1" applyFill="1" applyBorder="1" applyAlignment="1" applyProtection="1">
      <alignment horizontal="center" vertical="center" wrapText="1"/>
      <protection hidden="1"/>
    </xf>
    <xf numFmtId="0" fontId="1" fillId="6" borderId="6" xfId="4" applyFont="1" applyFill="1" applyBorder="1" applyAlignment="1" applyProtection="1">
      <alignment horizontal="center" vertical="center" wrapText="1"/>
      <protection hidden="1"/>
    </xf>
    <xf numFmtId="0" fontId="11" fillId="2" borderId="0" xfId="2" applyFont="1" applyFill="1" applyAlignment="1" applyProtection="1">
      <alignment horizontal="center" vertical="center" wrapText="1"/>
      <protection hidden="1"/>
    </xf>
    <xf numFmtId="0" fontId="11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2" applyFont="1" applyAlignment="1" applyProtection="1">
      <alignment horizontal="center" vertical="center" wrapText="1"/>
      <protection hidden="1"/>
    </xf>
    <xf numFmtId="0" fontId="4" fillId="0" borderId="0" xfId="2" applyFont="1" applyAlignment="1">
      <alignment horizontal="center" vertical="center" wrapText="1"/>
    </xf>
    <xf numFmtId="168" fontId="10" fillId="0" borderId="0" xfId="0" applyNumberFormat="1" applyFont="1" applyProtection="1">
      <protection hidden="1"/>
    </xf>
    <xf numFmtId="9" fontId="4" fillId="0" borderId="0" xfId="2" applyNumberFormat="1" applyFont="1"/>
    <xf numFmtId="168" fontId="3" fillId="0" borderId="0" xfId="2" applyNumberFormat="1" applyFont="1" applyProtection="1">
      <protection hidden="1"/>
    </xf>
    <xf numFmtId="168" fontId="3" fillId="5" borderId="7" xfId="0" applyNumberFormat="1" applyFont="1" applyFill="1" applyBorder="1" applyProtection="1">
      <protection hidden="1"/>
    </xf>
    <xf numFmtId="169" fontId="3" fillId="5" borderId="0" xfId="2" applyNumberFormat="1" applyFont="1" applyFill="1" applyProtection="1">
      <protection hidden="1"/>
    </xf>
    <xf numFmtId="169" fontId="3" fillId="5" borderId="8" xfId="2" applyNumberFormat="1" applyFont="1" applyFill="1" applyBorder="1" applyAlignment="1" applyProtection="1">
      <alignment horizontal="right" indent="1"/>
      <protection hidden="1"/>
    </xf>
    <xf numFmtId="169" fontId="3" fillId="5" borderId="9" xfId="2" applyNumberFormat="1" applyFont="1" applyFill="1" applyBorder="1" applyProtection="1">
      <protection hidden="1"/>
    </xf>
    <xf numFmtId="171" fontId="10" fillId="2" borderId="0" xfId="5" applyNumberFormat="1" applyFont="1" applyFill="1" applyBorder="1" applyAlignment="1" applyProtection="1">
      <alignment horizontal="right" indent="1"/>
      <protection hidden="1"/>
    </xf>
    <xf numFmtId="2" fontId="10" fillId="0" borderId="0" xfId="0" applyNumberFormat="1" applyFont="1" applyAlignment="1">
      <alignment horizontal="right" indent="1"/>
    </xf>
    <xf numFmtId="0" fontId="4" fillId="0" borderId="0" xfId="0" applyFont="1"/>
    <xf numFmtId="168" fontId="10" fillId="2" borderId="0" xfId="0" applyNumberFormat="1" applyFont="1" applyFill="1" applyProtection="1">
      <protection hidden="1"/>
    </xf>
    <xf numFmtId="168" fontId="3" fillId="5" borderId="10" xfId="0" applyNumberFormat="1" applyFont="1" applyFill="1" applyBorder="1" applyProtection="1">
      <protection hidden="1"/>
    </xf>
    <xf numFmtId="167" fontId="10" fillId="0" borderId="0" xfId="3" applyNumberFormat="1" applyFont="1" applyAlignment="1" applyProtection="1"/>
    <xf numFmtId="1" fontId="10" fillId="0" borderId="0" xfId="0" applyNumberFormat="1" applyFont="1" applyAlignment="1">
      <alignment horizontal="right" indent="1"/>
    </xf>
    <xf numFmtId="172" fontId="4" fillId="0" borderId="0" xfId="0" applyNumberFormat="1" applyFont="1"/>
    <xf numFmtId="168" fontId="10" fillId="0" borderId="0" xfId="2" applyNumberFormat="1" applyFont="1"/>
    <xf numFmtId="2" fontId="10" fillId="2" borderId="0" xfId="2" applyNumberFormat="1" applyFont="1" applyFill="1" applyAlignment="1" applyProtection="1">
      <alignment horizontal="right" indent="1"/>
      <protection hidden="1"/>
    </xf>
    <xf numFmtId="167" fontId="4" fillId="0" borderId="13" xfId="0" applyNumberFormat="1" applyFont="1" applyBorder="1"/>
    <xf numFmtId="0" fontId="3" fillId="0" borderId="0" xfId="2" applyFont="1"/>
    <xf numFmtId="165" fontId="3" fillId="0" borderId="0" xfId="2" applyNumberFormat="1" applyFont="1"/>
    <xf numFmtId="10" fontId="7" fillId="2" borderId="0" xfId="1" applyNumberFormat="1" applyFont="1" applyFill="1" applyBorder="1" applyProtection="1">
      <protection hidden="1"/>
    </xf>
    <xf numFmtId="166" fontId="7" fillId="2" borderId="0" xfId="3" applyFont="1" applyFill="1" applyBorder="1" applyProtection="1">
      <protection hidden="1"/>
    </xf>
    <xf numFmtId="0" fontId="5" fillId="2" borderId="0" xfId="2" applyFont="1" applyFill="1" applyProtection="1">
      <protection hidden="1"/>
    </xf>
    <xf numFmtId="0" fontId="1" fillId="2" borderId="0" xfId="4" applyFont="1" applyFill="1" applyAlignment="1" applyProtection="1">
      <alignment horizontal="center" vertical="center" wrapText="1"/>
      <protection hidden="1"/>
    </xf>
    <xf numFmtId="169" fontId="3" fillId="2" borderId="0" xfId="2" applyNumberFormat="1" applyFont="1" applyFill="1" applyProtection="1">
      <protection hidden="1"/>
    </xf>
    <xf numFmtId="169" fontId="1" fillId="2" borderId="0" xfId="4" applyNumberFormat="1" applyFont="1" applyFill="1" applyAlignment="1" applyProtection="1">
      <alignment horizontal="center" vertical="center" wrapText="1"/>
      <protection hidden="1"/>
    </xf>
    <xf numFmtId="0" fontId="13" fillId="0" borderId="0" xfId="0" applyFont="1" applyAlignment="1" applyProtection="1">
      <alignment vertical="top" wrapText="1"/>
      <protection hidden="1"/>
    </xf>
    <xf numFmtId="173" fontId="3" fillId="5" borderId="0" xfId="6" applyNumberFormat="1" applyFont="1" applyFill="1" applyAlignment="1" applyProtection="1">
      <alignment horizontal="right" indent="1"/>
      <protection hidden="1"/>
    </xf>
    <xf numFmtId="174" fontId="7" fillId="4" borderId="1" xfId="1" applyNumberFormat="1" applyFont="1" applyFill="1" applyBorder="1" applyProtection="1">
      <protection locked="0" hidden="1"/>
    </xf>
    <xf numFmtId="174" fontId="4" fillId="0" borderId="0" xfId="2" applyNumberFormat="1" applyFont="1"/>
    <xf numFmtId="175" fontId="7" fillId="5" borderId="1" xfId="1" applyNumberFormat="1" applyFont="1" applyFill="1" applyBorder="1" applyProtection="1">
      <protection hidden="1"/>
    </xf>
    <xf numFmtId="164" fontId="7" fillId="5" borderId="1" xfId="7" applyFont="1" applyFill="1" applyBorder="1" applyProtection="1">
      <protection hidden="1"/>
    </xf>
    <xf numFmtId="169" fontId="1" fillId="6" borderId="11" xfId="4" applyNumberFormat="1" applyFont="1" applyFill="1" applyBorder="1" applyAlignment="1" applyProtection="1">
      <alignment horizontal="center" vertical="center" wrapText="1"/>
      <protection hidden="1"/>
    </xf>
    <xf numFmtId="169" fontId="1" fillId="6" borderId="12" xfId="4" applyNumberFormat="1" applyFont="1" applyFill="1" applyBorder="1" applyAlignment="1" applyProtection="1">
      <alignment horizontal="center" vertical="center" wrapText="1"/>
      <protection hidden="1"/>
    </xf>
    <xf numFmtId="176" fontId="7" fillId="5" borderId="1" xfId="7" applyNumberFormat="1" applyFont="1" applyFill="1" applyBorder="1" applyProtection="1">
      <protection hidden="1"/>
    </xf>
    <xf numFmtId="0" fontId="13" fillId="5" borderId="0" xfId="0" applyFont="1" applyFill="1" applyAlignment="1" applyProtection="1">
      <alignment horizontal="center" vertical="top" wrapText="1"/>
      <protection hidden="1"/>
    </xf>
    <xf numFmtId="0" fontId="1" fillId="3" borderId="2" xfId="0" applyFont="1" applyFill="1" applyBorder="1" applyAlignment="1" applyProtection="1">
      <alignment horizontal="right" indent="1"/>
      <protection hidden="1"/>
    </xf>
    <xf numFmtId="0" fontId="1" fillId="6" borderId="5" xfId="4" applyFont="1" applyFill="1" applyBorder="1" applyAlignment="1" applyProtection="1">
      <alignment horizontal="center" vertical="center" wrapText="1"/>
      <protection hidden="1"/>
    </xf>
    <xf numFmtId="0" fontId="1" fillId="6" borderId="11" xfId="4" applyFont="1" applyFill="1" applyBorder="1" applyAlignment="1" applyProtection="1">
      <alignment horizontal="center" vertical="center" wrapText="1"/>
      <protection hidden="1"/>
    </xf>
    <xf numFmtId="0" fontId="5" fillId="0" borderId="3" xfId="2" applyFont="1" applyBorder="1" applyAlignment="1" applyProtection="1">
      <alignment horizontal="center"/>
      <protection hidden="1"/>
    </xf>
  </cellXfs>
  <cellStyles count="8">
    <cellStyle name="Millares" xfId="6" builtinId="3"/>
    <cellStyle name="Millares 2" xfId="3" xr:uid="{FF5C690F-CF93-41F9-8228-E4383B53F847}"/>
    <cellStyle name="Moneda" xfId="7" builtinId="4"/>
    <cellStyle name="Moneda 2" xfId="5" xr:uid="{093BF4ED-D4BD-48FB-8709-FBB457E51F9B}"/>
    <cellStyle name="Normal" xfId="0" builtinId="0"/>
    <cellStyle name="Normal 2" xfId="2" xr:uid="{085915FE-631B-44E9-A50D-50B56F44B9F7}"/>
    <cellStyle name="Normal_Calculadora Garbarino 45_v1" xfId="4" xr:uid="{C114151B-AB4D-44E8-B060-BEE71E75DFD4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7058</xdr:colOff>
      <xdr:row>2</xdr:row>
      <xdr:rowOff>13</xdr:rowOff>
    </xdr:from>
    <xdr:to>
      <xdr:col>5</xdr:col>
      <xdr:colOff>2243669</xdr:colOff>
      <xdr:row>3</xdr:row>
      <xdr:rowOff>349718</xdr:rowOff>
    </xdr:to>
    <xdr:pic>
      <xdr:nvPicPr>
        <xdr:cNvPr id="4" name="Imagen 1" descr="LABORATORIOS RICHMOND S.A.C.I.F.">
          <a:extLst>
            <a:ext uri="{FF2B5EF4-FFF2-40B4-BE49-F238E27FC236}">
              <a16:creationId xmlns:a16="http://schemas.microsoft.com/office/drawing/2014/main" id="{842ED508-9269-C2E2-6B3B-A6E695534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08725" y="366902"/>
          <a:ext cx="2236611" cy="533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857250</xdr:colOff>
      <xdr:row>1</xdr:row>
      <xdr:rowOff>142876</xdr:rowOff>
    </xdr:from>
    <xdr:to>
      <xdr:col>11</xdr:col>
      <xdr:colOff>1202680</xdr:colOff>
      <xdr:row>3</xdr:row>
      <xdr:rowOff>344578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427F0A3-C91A-4184-84ED-10DCC1284F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34438" y="333376"/>
          <a:ext cx="1726555" cy="5827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7058</xdr:colOff>
      <xdr:row>2</xdr:row>
      <xdr:rowOff>13</xdr:rowOff>
    </xdr:from>
    <xdr:to>
      <xdr:col>5</xdr:col>
      <xdr:colOff>2243669</xdr:colOff>
      <xdr:row>3</xdr:row>
      <xdr:rowOff>349718</xdr:rowOff>
    </xdr:to>
    <xdr:pic>
      <xdr:nvPicPr>
        <xdr:cNvPr id="2" name="Imagen 1" descr="LABORATORIOS RICHMOND S.A.C.I.F.">
          <a:extLst>
            <a:ext uri="{FF2B5EF4-FFF2-40B4-BE49-F238E27FC236}">
              <a16:creationId xmlns:a16="http://schemas.microsoft.com/office/drawing/2014/main" id="{20883BF9-A6CD-4D65-AB96-593DA3440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708" y="381013"/>
          <a:ext cx="2236611" cy="540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881062</xdr:colOff>
      <xdr:row>1</xdr:row>
      <xdr:rowOff>166688</xdr:rowOff>
    </xdr:from>
    <xdr:to>
      <xdr:col>12</xdr:col>
      <xdr:colOff>12055</xdr:colOff>
      <xdr:row>3</xdr:row>
      <xdr:rowOff>368390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BFD86DD-6266-4B0C-8AA2-4DE8170ABB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32031" y="357188"/>
          <a:ext cx="1726555" cy="5827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7058</xdr:colOff>
      <xdr:row>2</xdr:row>
      <xdr:rowOff>13</xdr:rowOff>
    </xdr:from>
    <xdr:to>
      <xdr:col>5</xdr:col>
      <xdr:colOff>2243669</xdr:colOff>
      <xdr:row>3</xdr:row>
      <xdr:rowOff>349718</xdr:rowOff>
    </xdr:to>
    <xdr:pic>
      <xdr:nvPicPr>
        <xdr:cNvPr id="2" name="Imagen 1" descr="LABORATORIOS RICHMOND S.A.C.I.F.">
          <a:extLst>
            <a:ext uri="{FF2B5EF4-FFF2-40B4-BE49-F238E27FC236}">
              <a16:creationId xmlns:a16="http://schemas.microsoft.com/office/drawing/2014/main" id="{33711B8C-0152-4C9B-91A5-5C3E1F411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1633" y="381013"/>
          <a:ext cx="2236611" cy="540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814917</xdr:colOff>
      <xdr:row>1</xdr:row>
      <xdr:rowOff>179916</xdr:rowOff>
    </xdr:from>
    <xdr:to>
      <xdr:col>11</xdr:col>
      <xdr:colOff>1155055</xdr:colOff>
      <xdr:row>3</xdr:row>
      <xdr:rowOff>381618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6E6FD2B-BFF6-40AF-BB34-FD6B6AE0B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82000" y="370416"/>
          <a:ext cx="1726555" cy="5827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794BF-7D35-49B8-9898-93D3A8481194}">
  <sheetPr>
    <pageSetUpPr fitToPage="1"/>
  </sheetPr>
  <dimension ref="A1:AO43"/>
  <sheetViews>
    <sheetView showGridLines="0" tabSelected="1" topLeftCell="E1" zoomScale="90" zoomScaleNormal="90" workbookViewId="0">
      <selection activeCell="G12" sqref="G12"/>
    </sheetView>
  </sheetViews>
  <sheetFormatPr baseColWidth="10" defaultColWidth="16.140625" defaultRowHeight="15" customHeight="1" zeroHeight="1" outlineLevelCol="1"/>
  <cols>
    <col min="1" max="1" width="3.28515625" style="5" hidden="1" customWidth="1"/>
    <col min="2" max="2" width="35.28515625" style="5" hidden="1" customWidth="1" outlineLevel="1"/>
    <col min="3" max="3" width="15.85546875" style="5" hidden="1" customWidth="1" outlineLevel="1"/>
    <col min="4" max="4" width="35.28515625" style="5" hidden="1" customWidth="1" outlineLevel="1"/>
    <col min="5" max="5" width="12" style="53" customWidth="1" collapsed="1"/>
    <col min="6" max="6" width="38.85546875" style="54" bestFit="1" customWidth="1"/>
    <col min="7" max="7" width="16.7109375" style="53" bestFit="1" customWidth="1"/>
    <col min="8" max="8" width="13.5703125" style="53" bestFit="1" customWidth="1"/>
    <col min="9" max="9" width="17" style="53" customWidth="1"/>
    <col min="10" max="10" width="18.28515625" style="53" bestFit="1" customWidth="1"/>
    <col min="11" max="11" width="20.7109375" style="53" bestFit="1" customWidth="1"/>
    <col min="12" max="12" width="18.28515625" style="53" customWidth="1"/>
    <col min="13" max="13" width="9" style="53" customWidth="1"/>
    <col min="14" max="14" width="16.140625" style="19" hidden="1" customWidth="1" outlineLevel="1"/>
    <col min="15" max="18" width="16.140625" style="5" hidden="1" customWidth="1" outlineLevel="1"/>
    <col min="19" max="19" width="16.140625" style="5" customWidth="1" collapsed="1"/>
    <col min="20" max="36" width="16.140625" style="5" customWidth="1"/>
    <col min="37" max="37" width="16.140625" style="5" hidden="1" customWidth="1" outlineLevel="1"/>
    <col min="38" max="38" width="16.140625" style="5" hidden="1" customWidth="1" outlineLevel="1" collapsed="1"/>
    <col min="39" max="39" width="0" style="5" hidden="1" customWidth="1" outlineLevel="1" collapsed="1"/>
    <col min="40" max="40" width="0" style="5" hidden="1" customWidth="1" outlineLevel="1"/>
    <col min="41" max="41" width="16.140625" style="5" outlineLevel="1" collapsed="1"/>
    <col min="42" max="16384" width="16.140625" style="5" outlineLevel="1"/>
  </cols>
  <sheetData>
    <row r="1" spans="2:19">
      <c r="E1" s="1"/>
      <c r="F1" s="2"/>
      <c r="G1" s="1"/>
      <c r="H1" s="1"/>
      <c r="I1" s="1"/>
      <c r="J1" s="1"/>
      <c r="K1" s="1"/>
      <c r="L1" s="1"/>
      <c r="M1" s="1"/>
      <c r="N1" s="3"/>
      <c r="O1" s="4"/>
      <c r="P1" s="4"/>
      <c r="Q1" s="4"/>
      <c r="R1" s="4"/>
      <c r="S1" s="4"/>
    </row>
    <row r="2" spans="2:19">
      <c r="E2" s="1"/>
      <c r="F2" s="2"/>
      <c r="G2" s="1"/>
      <c r="H2" s="1"/>
      <c r="I2" s="1"/>
      <c r="J2" s="1"/>
      <c r="K2" s="1"/>
      <c r="L2" s="1"/>
      <c r="M2" s="1"/>
      <c r="N2" s="3"/>
      <c r="O2" s="4"/>
      <c r="P2" s="4"/>
      <c r="Q2" s="4"/>
      <c r="R2" s="4"/>
      <c r="S2" s="4"/>
    </row>
    <row r="3" spans="2:19">
      <c r="E3" s="1"/>
      <c r="F3" s="6"/>
      <c r="G3" s="6"/>
      <c r="H3" s="6"/>
      <c r="I3" s="6"/>
      <c r="J3" s="1"/>
      <c r="K3" s="1"/>
      <c r="L3" s="1"/>
      <c r="M3" s="1"/>
      <c r="N3" s="3"/>
      <c r="O3" s="4"/>
      <c r="P3" s="4"/>
      <c r="Q3" s="4"/>
      <c r="R3" s="4"/>
      <c r="S3" s="4"/>
    </row>
    <row r="4" spans="2:19" ht="33" customHeight="1">
      <c r="E4" s="1"/>
      <c r="F4" s="2"/>
      <c r="G4" s="1"/>
      <c r="H4" s="1"/>
      <c r="I4" s="1"/>
      <c r="J4" s="1"/>
      <c r="K4" s="1"/>
      <c r="L4" s="1"/>
      <c r="M4" s="1"/>
      <c r="N4" s="3"/>
      <c r="O4" s="4"/>
      <c r="P4" s="4"/>
      <c r="Q4" s="4"/>
      <c r="R4" s="4"/>
      <c r="S4" s="4"/>
    </row>
    <row r="5" spans="2:19">
      <c r="E5" s="1"/>
      <c r="F5" s="7" t="s">
        <v>20</v>
      </c>
      <c r="G5" s="1"/>
      <c r="H5" s="1"/>
      <c r="I5" s="1"/>
      <c r="J5" s="1"/>
      <c r="K5" s="1"/>
      <c r="L5" s="1"/>
      <c r="M5" s="1"/>
      <c r="N5" s="3"/>
      <c r="O5" s="4"/>
      <c r="P5" s="4"/>
      <c r="Q5" s="4"/>
      <c r="R5" s="4"/>
      <c r="S5" s="4"/>
    </row>
    <row r="6" spans="2:19">
      <c r="E6" s="1"/>
      <c r="F6" s="7" t="s">
        <v>19</v>
      </c>
      <c r="G6" s="1"/>
      <c r="H6" s="1"/>
      <c r="I6" s="1"/>
      <c r="J6" s="1"/>
      <c r="K6" s="1"/>
      <c r="L6" s="1"/>
      <c r="M6" s="1"/>
      <c r="N6" s="3"/>
      <c r="O6" s="4"/>
      <c r="P6" s="4"/>
      <c r="Q6" s="4"/>
      <c r="R6" s="4"/>
      <c r="S6" s="4"/>
    </row>
    <row r="7" spans="2:19">
      <c r="E7" s="1"/>
      <c r="F7" s="2"/>
      <c r="G7" s="1"/>
      <c r="H7" s="1"/>
      <c r="I7" s="1"/>
      <c r="J7" s="1"/>
      <c r="K7" s="1"/>
      <c r="L7" s="1"/>
      <c r="M7" s="1"/>
      <c r="N7" s="3"/>
      <c r="O7" s="4"/>
      <c r="P7" s="4"/>
      <c r="Q7" s="4"/>
      <c r="R7" s="4"/>
      <c r="S7" s="4"/>
    </row>
    <row r="8" spans="2:19">
      <c r="E8" s="1"/>
      <c r="F8" s="2"/>
      <c r="G8" s="1"/>
      <c r="H8" s="1"/>
      <c r="I8" s="1"/>
      <c r="J8" s="1"/>
      <c r="K8" s="1"/>
      <c r="L8" s="1"/>
      <c r="M8" s="20"/>
      <c r="N8" s="3"/>
      <c r="O8" s="4"/>
      <c r="P8" s="4"/>
      <c r="Q8" s="4"/>
      <c r="R8" s="4"/>
      <c r="S8" s="4"/>
    </row>
    <row r="9" spans="2:19">
      <c r="E9" s="1"/>
      <c r="F9" s="8" t="s">
        <v>0</v>
      </c>
      <c r="G9" s="9">
        <v>500000</v>
      </c>
      <c r="H9" s="1"/>
      <c r="I9" s="1"/>
      <c r="J9" s="71" t="s">
        <v>1</v>
      </c>
      <c r="K9" s="71"/>
      <c r="L9" s="10">
        <f>+XIRR(L17:L23,F17:F23)</f>
        <v>0.53689942955970793</v>
      </c>
      <c r="M9" s="55"/>
      <c r="N9" s="11"/>
      <c r="O9" s="4"/>
      <c r="P9" s="4"/>
      <c r="Q9" s="4"/>
      <c r="R9" s="4"/>
      <c r="S9" s="4"/>
    </row>
    <row r="10" spans="2:19">
      <c r="E10" s="1"/>
      <c r="F10" s="8" t="s">
        <v>2</v>
      </c>
      <c r="G10" s="12">
        <v>45517</v>
      </c>
      <c r="H10" s="1"/>
      <c r="I10" s="1"/>
      <c r="J10" s="71" t="s">
        <v>3</v>
      </c>
      <c r="K10" s="71"/>
      <c r="L10" s="10">
        <f>+NOMINAL(L9,4)</f>
        <v>0.45370403998232511</v>
      </c>
      <c r="M10" s="55"/>
      <c r="N10" s="13"/>
      <c r="O10" s="4"/>
      <c r="P10" s="4"/>
      <c r="Q10" s="4"/>
      <c r="R10" s="4"/>
      <c r="S10" s="4"/>
    </row>
    <row r="11" spans="2:19">
      <c r="E11" s="1"/>
      <c r="F11" s="8" t="s">
        <v>30</v>
      </c>
      <c r="G11" s="63">
        <v>0.38374999999999998</v>
      </c>
      <c r="H11" s="1"/>
      <c r="I11" s="1"/>
      <c r="J11" s="71" t="s">
        <v>4</v>
      </c>
      <c r="K11" s="71"/>
      <c r="L11" s="15">
        <f>+SUM(R18:R23)/(365/12)</f>
        <v>12.188982848366136</v>
      </c>
      <c r="M11" s="56"/>
      <c r="N11" s="13"/>
      <c r="O11" s="4"/>
      <c r="P11" s="4"/>
      <c r="Q11" s="4"/>
      <c r="R11" s="4"/>
      <c r="S11" s="4"/>
    </row>
    <row r="12" spans="2:19">
      <c r="E12" s="1"/>
      <c r="F12" s="8" t="s">
        <v>5</v>
      </c>
      <c r="G12" s="14">
        <v>7.0000000000000007E-2</v>
      </c>
      <c r="H12" s="16"/>
      <c r="I12" s="6"/>
      <c r="J12" s="71" t="s">
        <v>29</v>
      </c>
      <c r="K12" s="71"/>
      <c r="L12" s="15">
        <f>+L11/12</f>
        <v>1.0157485706971781</v>
      </c>
      <c r="M12" s="55"/>
      <c r="N12" s="17"/>
      <c r="O12" s="18"/>
      <c r="P12" s="4"/>
      <c r="Q12" s="4"/>
      <c r="R12" s="4"/>
      <c r="S12" s="4"/>
    </row>
    <row r="13" spans="2:19">
      <c r="E13" s="1"/>
      <c r="F13" s="16"/>
      <c r="G13" s="16"/>
      <c r="H13" s="16"/>
      <c r="I13" s="6"/>
      <c r="J13" s="71" t="s">
        <v>6</v>
      </c>
      <c r="K13" s="71"/>
      <c r="L13" s="65">
        <f>+O24/G17</f>
        <v>1.0000000039345154</v>
      </c>
      <c r="M13" s="57"/>
      <c r="N13" s="17"/>
      <c r="O13" s="18"/>
      <c r="P13" s="4"/>
      <c r="Q13" s="4"/>
      <c r="R13" s="4"/>
      <c r="S13" s="4"/>
    </row>
    <row r="14" spans="2:19" s="19" customFormat="1">
      <c r="E14" s="20"/>
      <c r="F14" s="21"/>
      <c r="G14" s="22"/>
      <c r="H14" s="23"/>
      <c r="I14" s="24"/>
      <c r="J14" s="24"/>
      <c r="K14" s="24"/>
      <c r="L14" s="24"/>
      <c r="M14" s="24"/>
      <c r="N14" s="17"/>
      <c r="O14" s="25"/>
      <c r="P14" s="3"/>
      <c r="Q14" s="3"/>
      <c r="R14" s="3"/>
      <c r="S14" s="3"/>
    </row>
    <row r="15" spans="2:19" ht="15.75" thickBot="1">
      <c r="E15" s="1"/>
      <c r="F15" s="2"/>
      <c r="G15" s="1"/>
      <c r="H15" s="1"/>
      <c r="I15" s="1"/>
      <c r="J15" s="1"/>
      <c r="K15" s="1"/>
      <c r="L15" s="1"/>
      <c r="M15" s="20"/>
      <c r="N15" s="25"/>
      <c r="O15" s="18"/>
      <c r="P15" s="4"/>
      <c r="Q15" s="4"/>
      <c r="R15" s="4"/>
      <c r="S15" s="4"/>
    </row>
    <row r="16" spans="2:19" s="34" customFormat="1" ht="28.5" customHeight="1" thickBot="1">
      <c r="B16" s="26"/>
      <c r="C16" s="26" t="s">
        <v>7</v>
      </c>
      <c r="D16" s="26"/>
      <c r="E16" s="27"/>
      <c r="F16" s="28" t="s">
        <v>8</v>
      </c>
      <c r="G16" s="28" t="s">
        <v>9</v>
      </c>
      <c r="H16" s="28" t="s">
        <v>10</v>
      </c>
      <c r="I16" s="28" t="s">
        <v>11</v>
      </c>
      <c r="J16" s="28" t="s">
        <v>12</v>
      </c>
      <c r="K16" s="28" t="s">
        <v>13</v>
      </c>
      <c r="L16" s="29" t="s">
        <v>14</v>
      </c>
      <c r="M16" s="58"/>
      <c r="N16" s="30"/>
      <c r="O16" s="31" t="s">
        <v>15</v>
      </c>
      <c r="P16" s="31" t="s">
        <v>16</v>
      </c>
      <c r="Q16" s="32"/>
      <c r="R16" s="31" t="s">
        <v>17</v>
      </c>
      <c r="S16" s="33"/>
    </row>
    <row r="17" spans="2:19">
      <c r="B17" s="35">
        <f>+D17</f>
        <v>45517</v>
      </c>
      <c r="C17" s="64">
        <f>+$G$11+$G$12</f>
        <v>0.45374999999999999</v>
      </c>
      <c r="D17" s="35">
        <f>+G10</f>
        <v>45517</v>
      </c>
      <c r="E17" s="37"/>
      <c r="F17" s="38">
        <f>+G10</f>
        <v>45517</v>
      </c>
      <c r="G17" s="39">
        <f>G9</f>
        <v>500000</v>
      </c>
      <c r="H17" s="40"/>
      <c r="I17" s="39"/>
      <c r="J17" s="39"/>
      <c r="K17" s="39">
        <f t="shared" ref="K17:K22" si="0">+G17-J17</f>
        <v>500000</v>
      </c>
      <c r="L17" s="41">
        <f>-G17</f>
        <v>-500000</v>
      </c>
      <c r="M17" s="59"/>
      <c r="N17" s="42"/>
      <c r="O17" s="43"/>
      <c r="P17" s="43"/>
      <c r="Q17" s="44"/>
      <c r="R17" s="44"/>
      <c r="S17" s="4"/>
    </row>
    <row r="18" spans="2:19">
      <c r="B18" s="35">
        <v>45609</v>
      </c>
      <c r="C18" s="64">
        <f>+$G$11+$G$12</f>
        <v>0.45374999999999999</v>
      </c>
      <c r="D18" s="45">
        <f>+B18</f>
        <v>45609</v>
      </c>
      <c r="E18" s="37"/>
      <c r="F18" s="46">
        <f>+D18</f>
        <v>45609</v>
      </c>
      <c r="G18" s="39">
        <f t="shared" ref="G18:G22" si="1">+K17</f>
        <v>500000</v>
      </c>
      <c r="H18" s="62">
        <f>+B18-B17</f>
        <v>92</v>
      </c>
      <c r="I18" s="39">
        <f>+G18*($G$11+$G$12)*(H18)/365</f>
        <v>57184.931506849316</v>
      </c>
      <c r="J18" s="39"/>
      <c r="K18" s="39">
        <f t="shared" si="0"/>
        <v>500000</v>
      </c>
      <c r="L18" s="41">
        <f>+I18+J18</f>
        <v>57184.931506849316</v>
      </c>
      <c r="M18" s="59"/>
      <c r="N18" s="42"/>
      <c r="O18" s="47">
        <f t="shared" ref="O18:O23" si="2">+L18/(1+$L$9)^((P18)/365)</f>
        <v>51314.101024684016</v>
      </c>
      <c r="P18" s="48">
        <f t="shared" ref="P18:P23" si="3">+F18-$F$17</f>
        <v>92</v>
      </c>
      <c r="Q18" s="44"/>
      <c r="R18" s="49">
        <f>+(O18/$O$24)*P18</f>
        <v>9.441794551392972</v>
      </c>
      <c r="S18" s="4"/>
    </row>
    <row r="19" spans="2:19">
      <c r="B19" s="35">
        <v>45701</v>
      </c>
      <c r="C19" s="64">
        <f t="shared" ref="C19:C23" si="4">+$G$11+$G$12</f>
        <v>0.45374999999999999</v>
      </c>
      <c r="D19" s="45">
        <f t="shared" ref="D19" si="5">+B19</f>
        <v>45701</v>
      </c>
      <c r="E19" s="37"/>
      <c r="F19" s="46">
        <f t="shared" ref="F19:F22" si="6">+D19</f>
        <v>45701</v>
      </c>
      <c r="G19" s="39">
        <f t="shared" si="1"/>
        <v>500000</v>
      </c>
      <c r="H19" s="62">
        <f t="shared" ref="H19:H22" si="7">+B19-B18</f>
        <v>92</v>
      </c>
      <c r="I19" s="39">
        <f t="shared" ref="I19:I22" si="8">+G19*($G$11+$G$12)*(H19)/365</f>
        <v>57184.931506849316</v>
      </c>
      <c r="J19" s="39"/>
      <c r="K19" s="39">
        <f t="shared" si="0"/>
        <v>500000</v>
      </c>
      <c r="L19" s="41">
        <f t="shared" ref="L19:L22" si="9">+I19+J19</f>
        <v>57184.931506849316</v>
      </c>
      <c r="M19" s="59"/>
      <c r="N19" s="42"/>
      <c r="O19" s="47">
        <f t="shared" si="2"/>
        <v>46045.99314167392</v>
      </c>
      <c r="P19" s="48">
        <f t="shared" si="3"/>
        <v>184</v>
      </c>
      <c r="Q19" s="44"/>
      <c r="R19" s="49">
        <f t="shared" ref="R19:R23" si="10">+(O19/$O$24)*P19</f>
        <v>16.944925409465935</v>
      </c>
      <c r="S19" s="4"/>
    </row>
    <row r="20" spans="2:19">
      <c r="B20" s="35">
        <v>45790</v>
      </c>
      <c r="C20" s="64">
        <f t="shared" si="4"/>
        <v>0.45374999999999999</v>
      </c>
      <c r="D20" s="45">
        <f>+B20</f>
        <v>45790</v>
      </c>
      <c r="E20" s="37"/>
      <c r="F20" s="46">
        <f t="shared" si="6"/>
        <v>45790</v>
      </c>
      <c r="G20" s="39">
        <f>+K19</f>
        <v>500000</v>
      </c>
      <c r="H20" s="62">
        <f t="shared" si="7"/>
        <v>89</v>
      </c>
      <c r="I20" s="39">
        <f t="shared" si="8"/>
        <v>55320.205479452052</v>
      </c>
      <c r="J20" s="39"/>
      <c r="K20" s="39">
        <f t="shared" si="0"/>
        <v>500000</v>
      </c>
      <c r="L20" s="41">
        <f t="shared" si="9"/>
        <v>55320.205479452052</v>
      </c>
      <c r="M20" s="59"/>
      <c r="N20" s="42"/>
      <c r="O20" s="47">
        <f t="shared" si="2"/>
        <v>40112.821926926183</v>
      </c>
      <c r="P20" s="48">
        <f t="shared" si="3"/>
        <v>273</v>
      </c>
      <c r="Q20" s="44"/>
      <c r="R20" s="49">
        <f t="shared" si="10"/>
        <v>21.901600685929509</v>
      </c>
      <c r="S20" s="4"/>
    </row>
    <row r="21" spans="2:19">
      <c r="B21" s="35">
        <v>45882</v>
      </c>
      <c r="C21" s="64">
        <f t="shared" si="4"/>
        <v>0.45374999999999999</v>
      </c>
      <c r="D21" s="45">
        <f>+B21</f>
        <v>45882</v>
      </c>
      <c r="E21" s="37"/>
      <c r="F21" s="46">
        <f t="shared" si="6"/>
        <v>45882</v>
      </c>
      <c r="G21" s="39">
        <f t="shared" si="1"/>
        <v>500000</v>
      </c>
      <c r="H21" s="62">
        <f t="shared" si="7"/>
        <v>92</v>
      </c>
      <c r="I21" s="39">
        <f t="shared" si="8"/>
        <v>57184.931506849316</v>
      </c>
      <c r="J21" s="39">
        <f>33.33%*$G$9</f>
        <v>166650</v>
      </c>
      <c r="K21" s="39">
        <f t="shared" si="0"/>
        <v>333350</v>
      </c>
      <c r="L21" s="41">
        <f t="shared" si="9"/>
        <v>223834.9315068493</v>
      </c>
      <c r="M21" s="59"/>
      <c r="N21" s="42"/>
      <c r="O21" s="47">
        <f t="shared" si="2"/>
        <v>145640.58467441407</v>
      </c>
      <c r="P21" s="48">
        <f t="shared" si="3"/>
        <v>365</v>
      </c>
      <c r="Q21" s="44"/>
      <c r="R21" s="49">
        <f t="shared" si="10"/>
        <v>106.31762639401393</v>
      </c>
      <c r="S21" s="4"/>
    </row>
    <row r="22" spans="2:19">
      <c r="B22" s="35">
        <v>45974</v>
      </c>
      <c r="C22" s="64">
        <f t="shared" si="4"/>
        <v>0.45374999999999999</v>
      </c>
      <c r="D22" s="45">
        <f>+B22</f>
        <v>45974</v>
      </c>
      <c r="E22" s="37"/>
      <c r="F22" s="46">
        <f t="shared" si="6"/>
        <v>45974</v>
      </c>
      <c r="G22" s="39">
        <f t="shared" si="1"/>
        <v>333350</v>
      </c>
      <c r="H22" s="62">
        <f t="shared" si="7"/>
        <v>92</v>
      </c>
      <c r="I22" s="39">
        <f t="shared" si="8"/>
        <v>38125.193835616439</v>
      </c>
      <c r="J22" s="39">
        <f>33.33%*$G$9</f>
        <v>166650</v>
      </c>
      <c r="K22" s="39">
        <f t="shared" si="0"/>
        <v>166700</v>
      </c>
      <c r="L22" s="41">
        <f t="shared" si="9"/>
        <v>204775.19383561643</v>
      </c>
      <c r="M22" s="59"/>
      <c r="N22" s="42"/>
      <c r="O22" s="47">
        <f t="shared" si="2"/>
        <v>119560.30545126935</v>
      </c>
      <c r="P22" s="48">
        <f t="shared" si="3"/>
        <v>457</v>
      </c>
      <c r="Q22" s="44"/>
      <c r="R22" s="49">
        <f t="shared" si="10"/>
        <v>109.27811875250374</v>
      </c>
      <c r="S22" s="4"/>
    </row>
    <row r="23" spans="2:19" ht="15.75" thickBot="1">
      <c r="B23" s="35">
        <v>46066</v>
      </c>
      <c r="C23" s="64">
        <f t="shared" si="4"/>
        <v>0.45374999999999999</v>
      </c>
      <c r="D23" s="45">
        <f>+B23</f>
        <v>46066</v>
      </c>
      <c r="E23" s="37"/>
      <c r="F23" s="46">
        <f t="shared" ref="F23" si="11">+D23</f>
        <v>46066</v>
      </c>
      <c r="G23" s="39">
        <f t="shared" ref="G23" si="12">+K22</f>
        <v>166700</v>
      </c>
      <c r="H23" s="62">
        <f>+D23-B22</f>
        <v>92</v>
      </c>
      <c r="I23" s="39">
        <f t="shared" ref="I23" si="13">+G23*($G$11+$G$12)*(H23)/365</f>
        <v>19065.456164383562</v>
      </c>
      <c r="J23" s="39">
        <f>33.34%*$G$9</f>
        <v>166700.00000000003</v>
      </c>
      <c r="K23" s="39">
        <f t="shared" ref="K23" si="14">+G23-J23</f>
        <v>0</v>
      </c>
      <c r="L23" s="41">
        <f t="shared" ref="L23" si="15">+I23+J23</f>
        <v>185765.45616438359</v>
      </c>
      <c r="M23" s="59"/>
      <c r="N23" s="42"/>
      <c r="O23" s="47">
        <f t="shared" si="2"/>
        <v>97326.195748290178</v>
      </c>
      <c r="P23" s="48">
        <f t="shared" si="3"/>
        <v>549</v>
      </c>
      <c r="Q23" s="44"/>
      <c r="R23" s="49">
        <f t="shared" si="10"/>
        <v>106.86416251116393</v>
      </c>
      <c r="S23" s="4"/>
    </row>
    <row r="24" spans="2:19" ht="15.75" thickBot="1">
      <c r="B24" s="50"/>
      <c r="C24" s="36"/>
      <c r="D24" s="50"/>
      <c r="E24" s="1"/>
      <c r="F24" s="72" t="s">
        <v>18</v>
      </c>
      <c r="G24" s="73"/>
      <c r="H24" s="73"/>
      <c r="I24" s="67">
        <f>SUM(I18:I23)</f>
        <v>284065.65000000002</v>
      </c>
      <c r="J24" s="67">
        <f>SUM(J18:J23)</f>
        <v>500000</v>
      </c>
      <c r="K24" s="67"/>
      <c r="L24" s="68">
        <f>SUM(L17:L23)</f>
        <v>284065.64999999997</v>
      </c>
      <c r="M24" s="60"/>
      <c r="N24" s="51"/>
      <c r="O24" s="52">
        <f>SUM(O18:O23)</f>
        <v>500000.0019672577</v>
      </c>
      <c r="P24" s="44"/>
      <c r="Q24" s="44"/>
      <c r="R24" s="44"/>
      <c r="S24" s="4"/>
    </row>
    <row r="25" spans="2:19">
      <c r="E25" s="1"/>
      <c r="F25" s="2"/>
      <c r="G25" s="1"/>
      <c r="H25" s="1"/>
      <c r="I25" s="1"/>
      <c r="J25" s="1"/>
      <c r="K25" s="1"/>
      <c r="L25" s="1"/>
      <c r="M25" s="20"/>
      <c r="N25" s="3"/>
      <c r="O25" s="4"/>
      <c r="P25" s="4"/>
      <c r="Q25" s="4"/>
      <c r="R25" s="4"/>
      <c r="S25" s="4"/>
    </row>
    <row r="26" spans="2:19">
      <c r="E26" s="1"/>
      <c r="F26" s="1"/>
      <c r="G26" s="1"/>
      <c r="H26" s="1"/>
      <c r="I26" s="1"/>
      <c r="J26" s="1"/>
      <c r="K26" s="1"/>
      <c r="L26" s="1"/>
      <c r="M26" s="20"/>
      <c r="N26" s="3"/>
      <c r="O26" s="4"/>
      <c r="P26" s="4"/>
      <c r="Q26" s="4"/>
      <c r="R26" s="4"/>
      <c r="S26" s="4"/>
    </row>
    <row r="27" spans="2:19">
      <c r="E27" s="1"/>
      <c r="F27" s="1"/>
      <c r="G27" s="1"/>
      <c r="H27" s="1"/>
      <c r="I27" s="1"/>
      <c r="J27" s="1"/>
      <c r="K27" s="1"/>
      <c r="L27" s="1"/>
      <c r="M27" s="1"/>
      <c r="N27" s="3"/>
      <c r="O27" s="4"/>
      <c r="P27" s="4"/>
      <c r="Q27" s="4"/>
      <c r="R27" s="4"/>
      <c r="S27" s="4"/>
    </row>
    <row r="28" spans="2:19" ht="15" customHeight="1">
      <c r="E28" s="1"/>
      <c r="F28" s="70" t="s">
        <v>44</v>
      </c>
      <c r="G28" s="70"/>
      <c r="H28" s="70"/>
      <c r="I28" s="70"/>
      <c r="J28" s="70"/>
      <c r="K28" s="70"/>
      <c r="L28" s="70"/>
      <c r="M28" s="1"/>
      <c r="N28" s="1"/>
      <c r="O28" s="61"/>
      <c r="P28" s="61"/>
      <c r="Q28" s="61"/>
      <c r="R28" s="4"/>
      <c r="S28" s="4"/>
    </row>
    <row r="29" spans="2:19">
      <c r="E29" s="1"/>
      <c r="F29" s="70"/>
      <c r="G29" s="70"/>
      <c r="H29" s="70"/>
      <c r="I29" s="70"/>
      <c r="J29" s="70"/>
      <c r="K29" s="70"/>
      <c r="L29" s="70"/>
      <c r="M29" s="1"/>
      <c r="N29" s="1"/>
      <c r="O29" s="61"/>
      <c r="P29" s="61"/>
      <c r="Q29" s="61"/>
      <c r="R29" s="4"/>
      <c r="S29" s="4"/>
    </row>
    <row r="30" spans="2:19">
      <c r="E30" s="1"/>
      <c r="F30" s="70"/>
      <c r="G30" s="70"/>
      <c r="H30" s="70"/>
      <c r="I30" s="70"/>
      <c r="J30" s="70"/>
      <c r="K30" s="70"/>
      <c r="L30" s="70"/>
      <c r="M30" s="1"/>
      <c r="N30" s="1"/>
      <c r="O30" s="61"/>
      <c r="P30" s="61"/>
      <c r="Q30" s="61"/>
      <c r="R30" s="4"/>
      <c r="S30" s="4"/>
    </row>
    <row r="31" spans="2:19">
      <c r="E31" s="1"/>
      <c r="F31" s="2"/>
      <c r="G31" s="1"/>
      <c r="H31" s="1"/>
      <c r="I31" s="1"/>
      <c r="J31" s="1"/>
      <c r="K31" s="1"/>
      <c r="L31" s="1"/>
      <c r="M31" s="1"/>
      <c r="N31" s="3"/>
      <c r="O31" s="4"/>
      <c r="P31" s="4"/>
      <c r="Q31" s="4"/>
      <c r="R31" s="4"/>
      <c r="S31" s="4"/>
    </row>
    <row r="32" spans="2:19">
      <c r="E32" s="1"/>
      <c r="F32" s="2"/>
      <c r="G32" s="1"/>
      <c r="H32" s="1"/>
      <c r="I32" s="1"/>
      <c r="J32" s="1"/>
      <c r="K32" s="1"/>
      <c r="L32" s="1"/>
      <c r="M32" s="1"/>
      <c r="N32" s="3"/>
      <c r="O32" s="4"/>
      <c r="P32" s="4"/>
      <c r="Q32" s="4"/>
      <c r="R32" s="4"/>
      <c r="S32" s="4"/>
    </row>
    <row r="33" spans="5:19">
      <c r="E33" s="1"/>
      <c r="F33" s="2"/>
      <c r="G33" s="1"/>
      <c r="H33" s="1"/>
      <c r="I33" s="1"/>
      <c r="J33" s="1"/>
      <c r="K33" s="1"/>
      <c r="L33" s="1"/>
      <c r="M33" s="1"/>
      <c r="N33" s="3"/>
      <c r="O33" s="4"/>
      <c r="P33" s="4"/>
      <c r="Q33" s="4"/>
      <c r="R33" s="4"/>
      <c r="S33" s="4"/>
    </row>
    <row r="34" spans="5:19">
      <c r="E34" s="1"/>
      <c r="F34" s="2"/>
      <c r="G34" s="1"/>
      <c r="H34" s="1"/>
      <c r="I34" s="1"/>
      <c r="J34" s="1"/>
      <c r="K34" s="1"/>
      <c r="L34" s="1"/>
      <c r="M34" s="1"/>
      <c r="N34" s="3"/>
      <c r="O34" s="4"/>
      <c r="P34" s="4"/>
      <c r="Q34" s="4"/>
      <c r="R34" s="4"/>
      <c r="S34" s="4"/>
    </row>
    <row r="35" spans="5:19">
      <c r="E35" s="1"/>
      <c r="F35" s="2"/>
      <c r="G35" s="1"/>
      <c r="H35" s="1"/>
      <c r="I35" s="1"/>
      <c r="J35" s="1"/>
      <c r="K35" s="1"/>
      <c r="L35" s="1"/>
      <c r="M35" s="1"/>
      <c r="N35" s="3"/>
      <c r="O35" s="4"/>
      <c r="P35" s="4"/>
      <c r="Q35" s="4"/>
      <c r="R35" s="4"/>
      <c r="S35" s="4"/>
    </row>
    <row r="36" spans="5:19">
      <c r="E36" s="1"/>
      <c r="F36" s="2"/>
      <c r="G36" s="1"/>
      <c r="H36" s="1"/>
      <c r="I36" s="1"/>
      <c r="J36" s="1"/>
      <c r="K36" s="1"/>
      <c r="L36" s="1"/>
      <c r="M36" s="1"/>
      <c r="N36" s="3"/>
      <c r="O36" s="4"/>
      <c r="P36" s="4"/>
      <c r="Q36" s="4"/>
      <c r="R36" s="4"/>
      <c r="S36" s="4"/>
    </row>
    <row r="37" spans="5:19">
      <c r="E37" s="1"/>
      <c r="F37" s="2"/>
      <c r="G37" s="1"/>
      <c r="H37" s="1"/>
      <c r="I37" s="1"/>
      <c r="J37" s="1"/>
      <c r="K37" s="1"/>
      <c r="L37" s="1"/>
      <c r="M37" s="1"/>
      <c r="N37" s="3"/>
      <c r="O37" s="4"/>
      <c r="P37" s="4"/>
      <c r="Q37" s="4"/>
      <c r="R37" s="4"/>
      <c r="S37" s="4"/>
    </row>
    <row r="38" spans="5:19">
      <c r="E38" s="1"/>
      <c r="F38" s="2"/>
      <c r="G38" s="1"/>
      <c r="H38" s="1"/>
      <c r="I38" s="1"/>
      <c r="J38" s="1"/>
      <c r="K38" s="1"/>
      <c r="L38" s="1"/>
      <c r="M38" s="1"/>
      <c r="N38" s="3"/>
      <c r="O38" s="4"/>
      <c r="P38" s="4"/>
      <c r="Q38" s="4"/>
      <c r="R38" s="4"/>
      <c r="S38" s="4"/>
    </row>
    <row r="39" spans="5:19" ht="15" customHeight="1"/>
    <row r="40" spans="5:19" ht="15" customHeight="1"/>
    <row r="41" spans="5:19" ht="15" customHeight="1"/>
    <row r="42" spans="5:19" ht="15" customHeight="1"/>
    <row r="43" spans="5:19" ht="15" customHeight="1"/>
  </sheetData>
  <sheetProtection algorithmName="SHA-512" hashValue="vKdzDtb2vPFiwFPs2CucD1NiIIacC5RjxqzgrFW/VDLy9hqaUJFeXkxv3IbwIP6OO0k/+91++XaMNc/G+pQhVw==" saltValue="eHBAefBV1wdme5eBXWIKPw==" spinCount="100000" sheet="1" selectLockedCells="1"/>
  <mergeCells count="7">
    <mergeCell ref="F28:L30"/>
    <mergeCell ref="J9:K9"/>
    <mergeCell ref="J10:K10"/>
    <mergeCell ref="J11:K11"/>
    <mergeCell ref="J13:K13"/>
    <mergeCell ref="F24:H24"/>
    <mergeCell ref="J12:K12"/>
  </mergeCells>
  <pageMargins left="0.39370078740157483" right="0.39370078740157483" top="0.39370078740157483" bottom="0.39370078740157483" header="0" footer="0"/>
  <pageSetup paperSize="9" scale="86" orientation="landscape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41B29-E5C0-42A0-B31E-9C63040722AB}">
  <sheetPr>
    <pageSetUpPr fitToPage="1"/>
  </sheetPr>
  <dimension ref="A1:AJ47"/>
  <sheetViews>
    <sheetView showGridLines="0" topLeftCell="E1" zoomScale="90" zoomScaleNormal="90" workbookViewId="0">
      <selection activeCell="G11" sqref="G11"/>
    </sheetView>
  </sheetViews>
  <sheetFormatPr baseColWidth="10" defaultColWidth="16.140625" defaultRowHeight="0" customHeight="1" zeroHeight="1" outlineLevelCol="3"/>
  <cols>
    <col min="1" max="1" width="3.28515625" style="5" hidden="1" customWidth="1"/>
    <col min="2" max="2" width="35.28515625" style="5" hidden="1" customWidth="1" outlineLevel="1"/>
    <col min="3" max="3" width="15.85546875" style="5" hidden="1" customWidth="1" outlineLevel="1"/>
    <col min="4" max="4" width="35.28515625" style="5" hidden="1" customWidth="1" outlineLevel="1"/>
    <col min="5" max="5" width="8.5703125" style="53" customWidth="1" collapsed="1"/>
    <col min="6" max="6" width="38.85546875" style="54" bestFit="1" customWidth="1"/>
    <col min="7" max="7" width="16.7109375" style="53" bestFit="1" customWidth="1"/>
    <col min="8" max="8" width="13.5703125" style="53" bestFit="1" customWidth="1"/>
    <col min="9" max="9" width="17" style="53" customWidth="1"/>
    <col min="10" max="10" width="18.28515625" style="53" bestFit="1" customWidth="1"/>
    <col min="11" max="11" width="20.7109375" style="53" bestFit="1" customWidth="1"/>
    <col min="12" max="12" width="18.28515625" style="53" customWidth="1"/>
    <col min="13" max="13" width="11.42578125" style="53" customWidth="1"/>
    <col min="14" max="15" width="16.140625" style="5" hidden="1" customWidth="1" outlineLevel="3"/>
    <col min="16" max="16" width="7.7109375" style="5" hidden="1" customWidth="1" outlineLevel="3"/>
    <col min="17" max="17" width="16.140625" style="5" hidden="1" customWidth="1" outlineLevel="3"/>
    <col min="18" max="18" width="16.140625" style="5" customWidth="1" collapsed="1"/>
    <col min="19" max="35" width="16.140625" style="5" customWidth="1"/>
    <col min="36" max="36" width="16.140625" style="5"/>
    <col min="37" max="16384" width="16.140625" style="5" outlineLevel="1"/>
  </cols>
  <sheetData>
    <row r="1" spans="2:18" ht="15">
      <c r="E1" s="1"/>
      <c r="F1" s="2"/>
      <c r="G1" s="1"/>
      <c r="H1" s="1"/>
      <c r="I1" s="1"/>
      <c r="J1" s="1"/>
      <c r="K1" s="1"/>
      <c r="L1" s="1"/>
      <c r="M1" s="1"/>
      <c r="N1" s="4"/>
      <c r="O1" s="4"/>
      <c r="P1" s="4"/>
      <c r="Q1" s="4"/>
      <c r="R1" s="4"/>
    </row>
    <row r="2" spans="2:18" ht="15">
      <c r="E2" s="1"/>
      <c r="F2" s="2"/>
      <c r="G2" s="1"/>
      <c r="H2" s="1"/>
      <c r="I2" s="1"/>
      <c r="J2" s="1"/>
      <c r="K2" s="1"/>
      <c r="L2" s="1"/>
      <c r="M2" s="1"/>
      <c r="N2" s="4"/>
      <c r="O2" s="4"/>
      <c r="P2" s="4"/>
      <c r="Q2" s="4"/>
      <c r="R2" s="4"/>
    </row>
    <row r="3" spans="2:18" ht="15">
      <c r="E3" s="1"/>
      <c r="F3" s="6"/>
      <c r="G3" s="6"/>
      <c r="H3" s="6"/>
      <c r="I3" s="6"/>
      <c r="J3" s="1"/>
      <c r="K3" s="1"/>
      <c r="L3" s="1"/>
      <c r="M3" s="1"/>
      <c r="N3" s="4"/>
      <c r="O3" s="4"/>
      <c r="P3" s="4"/>
      <c r="Q3" s="4"/>
      <c r="R3" s="4"/>
    </row>
    <row r="4" spans="2:18" ht="33" customHeight="1">
      <c r="E4" s="1"/>
      <c r="F4" s="2"/>
      <c r="G4" s="1"/>
      <c r="H4" s="1"/>
      <c r="I4" s="1"/>
      <c r="J4" s="1"/>
      <c r="K4" s="1"/>
      <c r="L4" s="1"/>
      <c r="M4" s="1"/>
      <c r="N4" s="4"/>
      <c r="O4" s="4"/>
      <c r="P4" s="4"/>
      <c r="Q4" s="4"/>
      <c r="R4" s="4"/>
    </row>
    <row r="5" spans="2:18" ht="15">
      <c r="E5" s="1"/>
      <c r="F5" s="7" t="s">
        <v>21</v>
      </c>
      <c r="G5" s="1"/>
      <c r="H5" s="1"/>
      <c r="I5" s="1"/>
      <c r="J5" s="1"/>
      <c r="K5" s="1"/>
      <c r="L5" s="1"/>
      <c r="M5" s="1"/>
      <c r="N5" s="4"/>
      <c r="O5" s="4"/>
      <c r="P5" s="4"/>
      <c r="Q5" s="4"/>
      <c r="R5" s="4"/>
    </row>
    <row r="6" spans="2:18" ht="15">
      <c r="E6" s="1"/>
      <c r="F6" s="7" t="s">
        <v>24</v>
      </c>
      <c r="G6" s="1"/>
      <c r="H6" s="1"/>
      <c r="I6" s="1"/>
      <c r="J6" s="1"/>
      <c r="K6" s="1"/>
      <c r="L6" s="1"/>
      <c r="M6" s="1"/>
      <c r="N6" s="4"/>
      <c r="O6" s="4"/>
      <c r="P6" s="4"/>
      <c r="Q6" s="4"/>
      <c r="R6" s="4"/>
    </row>
    <row r="7" spans="2:18" ht="15">
      <c r="E7" s="1"/>
      <c r="F7" s="2"/>
      <c r="G7" s="1"/>
      <c r="H7" s="1"/>
      <c r="I7" s="1"/>
      <c r="J7" s="1"/>
      <c r="K7" s="1"/>
      <c r="L7" s="1"/>
      <c r="M7" s="1"/>
      <c r="N7" s="4"/>
      <c r="O7" s="4"/>
      <c r="P7" s="4"/>
      <c r="Q7" s="4"/>
      <c r="R7" s="4"/>
    </row>
    <row r="8" spans="2:18" ht="15">
      <c r="E8" s="1"/>
      <c r="H8" s="1"/>
      <c r="I8" s="1"/>
      <c r="J8" s="1"/>
      <c r="K8" s="1"/>
      <c r="L8" s="1"/>
      <c r="M8" s="20"/>
      <c r="N8" s="4"/>
      <c r="O8" s="4"/>
      <c r="P8" s="4"/>
      <c r="Q8" s="4"/>
      <c r="R8" s="4"/>
    </row>
    <row r="9" spans="2:18" ht="15">
      <c r="E9" s="1"/>
      <c r="F9" s="8" t="s">
        <v>41</v>
      </c>
      <c r="G9" s="9">
        <v>10000</v>
      </c>
      <c r="H9" s="1"/>
      <c r="I9" s="1"/>
      <c r="J9" s="71" t="s">
        <v>1</v>
      </c>
      <c r="K9" s="71"/>
      <c r="L9" s="10">
        <f>+XIRR(L17:L25,F17:F25)</f>
        <v>9.3057760596275338E-2</v>
      </c>
      <c r="M9" s="55"/>
      <c r="N9" s="4"/>
      <c r="O9" s="4"/>
      <c r="P9" s="4"/>
      <c r="Q9" s="4"/>
      <c r="R9" s="4"/>
    </row>
    <row r="10" spans="2:18" ht="15">
      <c r="E10" s="1"/>
      <c r="F10" s="8" t="s">
        <v>2</v>
      </c>
      <c r="G10" s="12">
        <f>+'Clase A'!$G$10</f>
        <v>45517</v>
      </c>
      <c r="H10" s="1"/>
      <c r="I10" s="1"/>
      <c r="J10" s="71" t="s">
        <v>3</v>
      </c>
      <c r="K10" s="71"/>
      <c r="L10" s="10">
        <f>+NOMINAL(L9,4)</f>
        <v>8.9976091958573257E-2</v>
      </c>
      <c r="M10" s="55"/>
      <c r="N10" s="4"/>
      <c r="O10" s="4"/>
      <c r="P10" s="4"/>
      <c r="Q10" s="4"/>
      <c r="R10" s="4"/>
    </row>
    <row r="11" spans="2:18" ht="15">
      <c r="E11" s="1"/>
      <c r="F11" s="8" t="s">
        <v>28</v>
      </c>
      <c r="G11" s="14">
        <v>0.98399999999999999</v>
      </c>
      <c r="H11" s="1"/>
      <c r="I11" s="1"/>
      <c r="J11" s="71" t="s">
        <v>4</v>
      </c>
      <c r="K11" s="71"/>
      <c r="L11" s="15">
        <f>+SUM(Q18:Q25)/(365/12)</f>
        <v>19.804823116554182</v>
      </c>
      <c r="M11" s="56"/>
      <c r="N11" s="4"/>
      <c r="O11" s="4"/>
      <c r="P11" s="4"/>
      <c r="Q11" s="4"/>
      <c r="R11" s="4"/>
    </row>
    <row r="12" spans="2:18" ht="15">
      <c r="E12" s="1"/>
      <c r="F12" s="8" t="s">
        <v>43</v>
      </c>
      <c r="G12" s="10">
        <v>0.08</v>
      </c>
      <c r="H12" s="16"/>
      <c r="I12" s="6"/>
      <c r="J12" s="71" t="s">
        <v>29</v>
      </c>
      <c r="K12" s="71"/>
      <c r="L12" s="15">
        <f>+L11/12</f>
        <v>1.6504019263795151</v>
      </c>
      <c r="M12" s="55"/>
      <c r="N12" s="18"/>
      <c r="O12" s="4"/>
      <c r="P12" s="4"/>
      <c r="Q12" s="4"/>
      <c r="R12" s="4"/>
    </row>
    <row r="13" spans="2:18" ht="15">
      <c r="E13" s="1"/>
      <c r="F13" s="8" t="s">
        <v>25</v>
      </c>
      <c r="G13" s="69">
        <v>937.58330000000001</v>
      </c>
      <c r="H13" s="16"/>
      <c r="I13" s="6"/>
      <c r="J13" s="74"/>
      <c r="K13" s="74"/>
      <c r="L13" s="6"/>
      <c r="M13" s="57"/>
      <c r="N13" s="18"/>
      <c r="O13" s="4"/>
      <c r="P13" s="4"/>
      <c r="Q13" s="4"/>
      <c r="R13" s="4"/>
    </row>
    <row r="14" spans="2:18" s="19" customFormat="1" ht="15">
      <c r="E14" s="20"/>
      <c r="H14" s="23"/>
      <c r="I14" s="24"/>
      <c r="J14" s="24"/>
      <c r="K14" s="24"/>
      <c r="L14" s="24"/>
      <c r="M14" s="24"/>
      <c r="N14" s="25"/>
      <c r="O14" s="3"/>
      <c r="P14" s="3"/>
      <c r="Q14" s="3"/>
      <c r="R14" s="3"/>
    </row>
    <row r="15" spans="2:18" ht="15.75" thickBot="1">
      <c r="E15" s="1"/>
      <c r="F15" s="2"/>
      <c r="G15" s="1"/>
      <c r="H15" s="1"/>
      <c r="I15" s="1"/>
      <c r="J15" s="1"/>
      <c r="K15" s="1"/>
      <c r="L15" s="1"/>
      <c r="M15" s="20"/>
      <c r="N15" s="18"/>
      <c r="O15" s="4"/>
      <c r="P15" s="4"/>
      <c r="Q15" s="4"/>
      <c r="R15" s="4"/>
    </row>
    <row r="16" spans="2:18" s="34" customFormat="1" ht="28.5" customHeight="1" thickBot="1">
      <c r="B16" s="26"/>
      <c r="C16" s="26" t="s">
        <v>7</v>
      </c>
      <c r="D16" s="26"/>
      <c r="E16" s="27"/>
      <c r="F16" s="28" t="s">
        <v>8</v>
      </c>
      <c r="G16" s="28" t="s">
        <v>31</v>
      </c>
      <c r="H16" s="28" t="s">
        <v>10</v>
      </c>
      <c r="I16" s="28" t="s">
        <v>32</v>
      </c>
      <c r="J16" s="28" t="s">
        <v>33</v>
      </c>
      <c r="K16" s="28" t="s">
        <v>34</v>
      </c>
      <c r="L16" s="29" t="s">
        <v>35</v>
      </c>
      <c r="M16" s="58"/>
      <c r="N16" s="31" t="s">
        <v>15</v>
      </c>
      <c r="O16" s="31" t="s">
        <v>16</v>
      </c>
      <c r="P16" s="32"/>
      <c r="Q16" s="31" t="s">
        <v>17</v>
      </c>
      <c r="R16" s="33"/>
    </row>
    <row r="17" spans="2:18" ht="15">
      <c r="B17" s="35">
        <f>+D17</f>
        <v>45517</v>
      </c>
      <c r="C17" s="64">
        <f t="shared" ref="C17:C25" si="0">+$G$12</f>
        <v>0.08</v>
      </c>
      <c r="D17" s="35">
        <f>+G10</f>
        <v>45517</v>
      </c>
      <c r="E17" s="37"/>
      <c r="F17" s="38">
        <f>+G10</f>
        <v>45517</v>
      </c>
      <c r="G17" s="39">
        <f>G9</f>
        <v>10000</v>
      </c>
      <c r="H17" s="40"/>
      <c r="I17" s="39"/>
      <c r="J17" s="39"/>
      <c r="K17" s="39">
        <f t="shared" ref="K17:K25" si="1">+G17-J17</f>
        <v>10000</v>
      </c>
      <c r="L17" s="41">
        <f>-G17*$G$11</f>
        <v>-9840</v>
      </c>
      <c r="M17" s="59"/>
      <c r="N17" s="43"/>
      <c r="O17" s="43"/>
      <c r="P17" s="44"/>
      <c r="Q17" s="44"/>
      <c r="R17" s="4"/>
    </row>
    <row r="18" spans="2:18" ht="15">
      <c r="B18" s="35">
        <v>45609</v>
      </c>
      <c r="C18" s="64">
        <f t="shared" si="0"/>
        <v>0.08</v>
      </c>
      <c r="D18" s="45">
        <f>+B18</f>
        <v>45609</v>
      </c>
      <c r="E18" s="37"/>
      <c r="F18" s="46">
        <f>+D18</f>
        <v>45609</v>
      </c>
      <c r="G18" s="39">
        <f t="shared" ref="G18:G25" si="2">+K17</f>
        <v>10000</v>
      </c>
      <c r="H18" s="62">
        <f>+B18-B17</f>
        <v>92</v>
      </c>
      <c r="I18" s="39">
        <f t="shared" ref="I18:I25" si="3">+G18*($G$12)*(H18)/365</f>
        <v>201.64383561643837</v>
      </c>
      <c r="J18" s="39"/>
      <c r="K18" s="39">
        <f t="shared" si="1"/>
        <v>10000</v>
      </c>
      <c r="L18" s="41">
        <f>+I18+J18</f>
        <v>201.64383561643837</v>
      </c>
      <c r="M18" s="59"/>
      <c r="N18" s="47">
        <f t="shared" ref="N18:N25" si="4">+L18/(1+$L$9)^((O18)/365)</f>
        <v>197.17178503805937</v>
      </c>
      <c r="O18" s="48">
        <f t="shared" ref="O18:O25" si="5">+F18-$F$17</f>
        <v>92</v>
      </c>
      <c r="P18" s="44"/>
      <c r="Q18" s="49">
        <f>+(N18/$N$26)*O18</f>
        <v>1.8434760314108316</v>
      </c>
      <c r="R18" s="4"/>
    </row>
    <row r="19" spans="2:18" ht="15">
      <c r="B19" s="35">
        <v>45701</v>
      </c>
      <c r="C19" s="64">
        <f t="shared" si="0"/>
        <v>0.08</v>
      </c>
      <c r="D19" s="45">
        <f t="shared" ref="D19" si="6">+B19</f>
        <v>45701</v>
      </c>
      <c r="E19" s="37"/>
      <c r="F19" s="46">
        <f t="shared" ref="F19:F25" si="7">+D19</f>
        <v>45701</v>
      </c>
      <c r="G19" s="39">
        <f t="shared" si="2"/>
        <v>10000</v>
      </c>
      <c r="H19" s="62">
        <f t="shared" ref="H19:H24" si="8">+B19-B18</f>
        <v>92</v>
      </c>
      <c r="I19" s="39">
        <f t="shared" si="3"/>
        <v>201.64383561643837</v>
      </c>
      <c r="J19" s="39"/>
      <c r="K19" s="39">
        <f t="shared" si="1"/>
        <v>10000</v>
      </c>
      <c r="L19" s="41">
        <f t="shared" ref="L19:L25" si="9">+I19+J19</f>
        <v>201.64383561643837</v>
      </c>
      <c r="M19" s="59"/>
      <c r="N19" s="47">
        <f t="shared" si="4"/>
        <v>192.79891545529301</v>
      </c>
      <c r="O19" s="48">
        <f t="shared" si="5"/>
        <v>184</v>
      </c>
      <c r="P19" s="44"/>
      <c r="Q19" s="49">
        <f>+(N19/$N$26)*O19</f>
        <v>3.6051829571379144</v>
      </c>
      <c r="R19" s="4"/>
    </row>
    <row r="20" spans="2:18" ht="15">
      <c r="B20" s="35">
        <v>45790</v>
      </c>
      <c r="C20" s="64">
        <f t="shared" si="0"/>
        <v>0.08</v>
      </c>
      <c r="D20" s="45">
        <f t="shared" ref="D20:D25" si="10">+B20</f>
        <v>45790</v>
      </c>
      <c r="E20" s="37"/>
      <c r="F20" s="46">
        <f t="shared" si="7"/>
        <v>45790</v>
      </c>
      <c r="G20" s="39">
        <f t="shared" si="2"/>
        <v>10000</v>
      </c>
      <c r="H20" s="62">
        <f t="shared" si="8"/>
        <v>89</v>
      </c>
      <c r="I20" s="39">
        <f t="shared" si="3"/>
        <v>195.06849315068493</v>
      </c>
      <c r="J20" s="39"/>
      <c r="K20" s="39">
        <f t="shared" si="1"/>
        <v>10000</v>
      </c>
      <c r="L20" s="41">
        <f t="shared" si="9"/>
        <v>195.06849315068493</v>
      </c>
      <c r="M20" s="59"/>
      <c r="N20" s="47">
        <f t="shared" si="4"/>
        <v>182.50896355697489</v>
      </c>
      <c r="O20" s="48">
        <f t="shared" si="5"/>
        <v>273</v>
      </c>
      <c r="P20" s="44"/>
      <c r="Q20" s="49">
        <f>+(N20/$N$26)*O20</f>
        <v>5.0635108583990229</v>
      </c>
      <c r="R20" s="4"/>
    </row>
    <row r="21" spans="2:18" ht="15">
      <c r="B21" s="35">
        <v>45882</v>
      </c>
      <c r="C21" s="64">
        <f t="shared" si="0"/>
        <v>0.08</v>
      </c>
      <c r="D21" s="45">
        <f t="shared" si="10"/>
        <v>45882</v>
      </c>
      <c r="E21" s="37"/>
      <c r="F21" s="46">
        <f t="shared" si="7"/>
        <v>45882</v>
      </c>
      <c r="G21" s="39">
        <f t="shared" si="2"/>
        <v>10000</v>
      </c>
      <c r="H21" s="62">
        <f t="shared" si="8"/>
        <v>92</v>
      </c>
      <c r="I21" s="39">
        <f t="shared" si="3"/>
        <v>201.64383561643837</v>
      </c>
      <c r="J21" s="39"/>
      <c r="K21" s="39">
        <f t="shared" si="1"/>
        <v>10000</v>
      </c>
      <c r="L21" s="41">
        <f t="shared" si="9"/>
        <v>201.64383561643837</v>
      </c>
      <c r="M21" s="59"/>
      <c r="N21" s="47">
        <f t="shared" si="4"/>
        <v>184.47683451461833</v>
      </c>
      <c r="O21" s="48">
        <f t="shared" si="5"/>
        <v>365</v>
      </c>
      <c r="P21" s="44"/>
      <c r="Q21" s="49">
        <f>+(N21/$N$26)*O21</f>
        <v>6.8428906830890792</v>
      </c>
      <c r="R21" s="4"/>
    </row>
    <row r="22" spans="2:18" ht="15">
      <c r="B22" s="35">
        <v>45974</v>
      </c>
      <c r="C22" s="64">
        <f t="shared" si="0"/>
        <v>0.08</v>
      </c>
      <c r="D22" s="45">
        <f t="shared" si="10"/>
        <v>45974</v>
      </c>
      <c r="E22" s="37"/>
      <c r="F22" s="46">
        <f t="shared" si="7"/>
        <v>45974</v>
      </c>
      <c r="G22" s="39">
        <f t="shared" si="2"/>
        <v>10000</v>
      </c>
      <c r="H22" s="62">
        <f t="shared" si="8"/>
        <v>92</v>
      </c>
      <c r="I22" s="39">
        <f t="shared" si="3"/>
        <v>201.64383561643837</v>
      </c>
      <c r="J22" s="39"/>
      <c r="K22" s="39">
        <f t="shared" si="1"/>
        <v>10000</v>
      </c>
      <c r="L22" s="41">
        <f t="shared" si="9"/>
        <v>201.64383561643837</v>
      </c>
      <c r="M22" s="59"/>
      <c r="N22" s="47">
        <f t="shared" si="4"/>
        <v>180.38551314113536</v>
      </c>
      <c r="O22" s="48">
        <f t="shared" si="5"/>
        <v>457</v>
      </c>
      <c r="P22" s="44"/>
      <c r="Q22" s="49">
        <f>+(N22/$N$26)*O22</f>
        <v>8.3776604844820035</v>
      </c>
      <c r="R22" s="4"/>
    </row>
    <row r="23" spans="2:18" ht="15">
      <c r="B23" s="35">
        <v>46066</v>
      </c>
      <c r="C23" s="64">
        <f t="shared" si="0"/>
        <v>0.08</v>
      </c>
      <c r="D23" s="45">
        <f t="shared" si="10"/>
        <v>46066</v>
      </c>
      <c r="E23" s="37"/>
      <c r="F23" s="46">
        <f t="shared" si="7"/>
        <v>46066</v>
      </c>
      <c r="G23" s="39">
        <f t="shared" si="2"/>
        <v>10000</v>
      </c>
      <c r="H23" s="62">
        <f t="shared" si="8"/>
        <v>92</v>
      </c>
      <c r="I23" s="39">
        <f t="shared" si="3"/>
        <v>201.64383561643837</v>
      </c>
      <c r="J23" s="39">
        <f>33%*$G$9</f>
        <v>3300</v>
      </c>
      <c r="K23" s="39">
        <f t="shared" si="1"/>
        <v>6700</v>
      </c>
      <c r="L23" s="41">
        <f t="shared" si="9"/>
        <v>3501.6438356164385</v>
      </c>
      <c r="M23" s="59"/>
      <c r="N23" s="47">
        <f t="shared" si="4"/>
        <v>3063.0105666804911</v>
      </c>
      <c r="O23" s="48">
        <f t="shared" si="5"/>
        <v>549</v>
      </c>
      <c r="P23" s="44"/>
      <c r="Q23" s="49">
        <f t="shared" ref="Q23:Q24" si="11">+(N23/$N$26)*O23</f>
        <v>170.89357664723823</v>
      </c>
      <c r="R23" s="4"/>
    </row>
    <row r="24" spans="2:18" ht="15">
      <c r="B24" s="35">
        <v>46155</v>
      </c>
      <c r="C24" s="64">
        <f t="shared" si="0"/>
        <v>0.08</v>
      </c>
      <c r="D24" s="45">
        <f t="shared" si="10"/>
        <v>46155</v>
      </c>
      <c r="E24" s="37"/>
      <c r="F24" s="46">
        <f t="shared" si="7"/>
        <v>46155</v>
      </c>
      <c r="G24" s="39">
        <f t="shared" si="2"/>
        <v>6700</v>
      </c>
      <c r="H24" s="62">
        <f t="shared" si="8"/>
        <v>89</v>
      </c>
      <c r="I24" s="39">
        <f t="shared" si="3"/>
        <v>130.6958904109589</v>
      </c>
      <c r="J24" s="39">
        <f>33%*$G$9</f>
        <v>3300</v>
      </c>
      <c r="K24" s="39">
        <f t="shared" si="1"/>
        <v>3400</v>
      </c>
      <c r="L24" s="41">
        <f t="shared" si="9"/>
        <v>3430.6958904109588</v>
      </c>
      <c r="M24" s="59"/>
      <c r="N24" s="47">
        <f t="shared" si="4"/>
        <v>2936.5417507997677</v>
      </c>
      <c r="O24" s="48">
        <f t="shared" si="5"/>
        <v>638</v>
      </c>
      <c r="P24" s="44"/>
      <c r="Q24" s="49">
        <f t="shared" si="11"/>
        <v>190.39772655733003</v>
      </c>
      <c r="R24" s="4"/>
    </row>
    <row r="25" spans="2:18" ht="15.75" thickBot="1">
      <c r="B25" s="35">
        <v>46247</v>
      </c>
      <c r="C25" s="64">
        <f t="shared" si="0"/>
        <v>0.08</v>
      </c>
      <c r="D25" s="45">
        <f t="shared" si="10"/>
        <v>46247</v>
      </c>
      <c r="E25" s="37"/>
      <c r="F25" s="46">
        <f t="shared" si="7"/>
        <v>46247</v>
      </c>
      <c r="G25" s="39">
        <f t="shared" si="2"/>
        <v>3400</v>
      </c>
      <c r="H25" s="62">
        <f>+D25-B24</f>
        <v>92</v>
      </c>
      <c r="I25" s="39">
        <f t="shared" si="3"/>
        <v>68.558904109589037</v>
      </c>
      <c r="J25" s="39">
        <f>34%*$G$9</f>
        <v>3400.0000000000005</v>
      </c>
      <c r="K25" s="39">
        <f t="shared" si="1"/>
        <v>0</v>
      </c>
      <c r="L25" s="41">
        <f t="shared" si="9"/>
        <v>3468.5589041095895</v>
      </c>
      <c r="M25" s="59"/>
      <c r="N25" s="47">
        <f t="shared" si="4"/>
        <v>2903.1057111824416</v>
      </c>
      <c r="O25" s="48">
        <f t="shared" si="5"/>
        <v>730</v>
      </c>
      <c r="P25" s="44"/>
      <c r="Q25" s="49">
        <f>+(N25/$N$26)*O25</f>
        <v>215.37267890943599</v>
      </c>
      <c r="R25" s="4"/>
    </row>
    <row r="26" spans="2:18" ht="15.75" thickBot="1">
      <c r="B26" s="35"/>
      <c r="C26" s="36"/>
      <c r="D26" s="50"/>
      <c r="E26" s="1"/>
      <c r="F26" s="72" t="s">
        <v>18</v>
      </c>
      <c r="G26" s="73"/>
      <c r="H26" s="73"/>
      <c r="I26" s="67">
        <f>SUM(I18:I25)</f>
        <v>1402.5424657534245</v>
      </c>
      <c r="J26" s="67">
        <f>SUM(J18:J25)</f>
        <v>10000</v>
      </c>
      <c r="K26" s="67"/>
      <c r="L26" s="68">
        <f>SUM(L17:L25)</f>
        <v>1562.5424657534245</v>
      </c>
      <c r="M26" s="60"/>
      <c r="N26" s="52">
        <f>SUM(N18:N25)</f>
        <v>9840.0000403687809</v>
      </c>
      <c r="O26" s="44"/>
      <c r="P26" s="44"/>
      <c r="Q26" s="44"/>
      <c r="R26" s="4"/>
    </row>
    <row r="27" spans="2:18" ht="15">
      <c r="E27" s="1"/>
      <c r="F27" s="2"/>
      <c r="G27" s="1"/>
      <c r="H27" s="1"/>
      <c r="I27" s="1"/>
      <c r="J27" s="1"/>
      <c r="K27" s="1"/>
      <c r="L27" s="1"/>
      <c r="M27" s="20"/>
      <c r="N27" s="4"/>
      <c r="O27" s="4"/>
      <c r="P27" s="4"/>
      <c r="Q27" s="4"/>
      <c r="R27" s="4"/>
    </row>
    <row r="28" spans="2:18" ht="15">
      <c r="E28" s="1"/>
      <c r="F28" s="1"/>
      <c r="G28" s="1"/>
      <c r="H28" s="1"/>
      <c r="I28" s="1"/>
      <c r="J28" s="1"/>
      <c r="K28" s="1"/>
      <c r="L28" s="1"/>
      <c r="M28" s="20"/>
      <c r="N28" s="4"/>
      <c r="O28" s="4"/>
      <c r="P28" s="4"/>
      <c r="Q28" s="4"/>
      <c r="R28" s="4"/>
    </row>
    <row r="29" spans="2:18" ht="15">
      <c r="E29" s="1"/>
      <c r="F29" s="1"/>
      <c r="G29" s="1"/>
      <c r="H29" s="1"/>
      <c r="I29" s="1"/>
      <c r="J29" s="1"/>
      <c r="K29" s="1"/>
      <c r="L29" s="1"/>
      <c r="M29" s="1"/>
      <c r="N29" s="4"/>
      <c r="O29" s="4"/>
      <c r="P29" s="4"/>
      <c r="Q29" s="4"/>
      <c r="R29" s="4"/>
    </row>
    <row r="30" spans="2:18" ht="15" customHeight="1">
      <c r="E30" s="1"/>
      <c r="F30" s="70" t="s">
        <v>44</v>
      </c>
      <c r="G30" s="70"/>
      <c r="H30" s="70"/>
      <c r="I30" s="70"/>
      <c r="J30" s="70"/>
      <c r="K30" s="70"/>
      <c r="L30" s="70"/>
      <c r="M30" s="1"/>
      <c r="N30" s="61"/>
      <c r="O30" s="61"/>
      <c r="P30" s="61"/>
      <c r="Q30" s="4"/>
      <c r="R30" s="4"/>
    </row>
    <row r="31" spans="2:18" ht="15">
      <c r="E31" s="1"/>
      <c r="F31" s="70"/>
      <c r="G31" s="70"/>
      <c r="H31" s="70"/>
      <c r="I31" s="70"/>
      <c r="J31" s="70"/>
      <c r="K31" s="70"/>
      <c r="L31" s="70"/>
      <c r="M31" s="1"/>
      <c r="N31" s="61"/>
      <c r="O31" s="61"/>
      <c r="P31" s="61"/>
      <c r="Q31" s="4"/>
      <c r="R31" s="4"/>
    </row>
    <row r="32" spans="2:18" ht="15">
      <c r="E32" s="1"/>
      <c r="F32" s="70"/>
      <c r="G32" s="70"/>
      <c r="H32" s="70"/>
      <c r="I32" s="70"/>
      <c r="J32" s="70"/>
      <c r="K32" s="70"/>
      <c r="L32" s="70"/>
      <c r="M32" s="1"/>
      <c r="N32" s="61"/>
      <c r="O32" s="61"/>
      <c r="P32" s="61"/>
      <c r="Q32" s="4"/>
      <c r="R32" s="4"/>
    </row>
    <row r="33" spans="5:18" ht="15">
      <c r="E33" s="1"/>
      <c r="F33" s="2"/>
      <c r="G33" s="1"/>
      <c r="H33" s="1"/>
      <c r="I33" s="1"/>
      <c r="J33" s="1"/>
      <c r="K33" s="1"/>
      <c r="L33" s="1"/>
      <c r="M33" s="1"/>
      <c r="N33" s="4"/>
      <c r="O33" s="4"/>
      <c r="P33" s="4"/>
      <c r="Q33" s="4"/>
      <c r="R33" s="4"/>
    </row>
    <row r="34" spans="5:18" ht="15">
      <c r="E34" s="1"/>
      <c r="F34" s="2"/>
      <c r="G34" s="1"/>
      <c r="H34" s="1"/>
      <c r="I34" s="1"/>
      <c r="J34" s="1"/>
      <c r="K34" s="1"/>
      <c r="L34" s="1"/>
      <c r="M34" s="1"/>
      <c r="N34" s="4"/>
      <c r="O34" s="4"/>
      <c r="P34" s="4"/>
      <c r="Q34" s="4"/>
      <c r="R34" s="4"/>
    </row>
    <row r="35" spans="5:18" ht="15">
      <c r="E35" s="1"/>
      <c r="F35" s="1"/>
      <c r="G35" s="1"/>
      <c r="H35" s="1"/>
      <c r="I35" s="1"/>
      <c r="J35" s="1"/>
      <c r="K35" s="1"/>
      <c r="L35" s="1"/>
      <c r="M35" s="1"/>
      <c r="N35" s="4"/>
      <c r="O35" s="4"/>
      <c r="P35" s="4"/>
      <c r="Q35" s="4"/>
      <c r="R35" s="4"/>
    </row>
    <row r="36" spans="5:18" ht="15">
      <c r="E36" s="1"/>
      <c r="F36" s="2"/>
      <c r="G36" s="1"/>
      <c r="H36" s="1"/>
      <c r="I36" s="1"/>
      <c r="J36" s="1"/>
      <c r="K36" s="1"/>
      <c r="L36" s="1"/>
      <c r="M36" s="1"/>
      <c r="N36" s="4"/>
      <c r="O36" s="4"/>
      <c r="P36" s="4"/>
      <c r="Q36" s="4"/>
      <c r="R36" s="4"/>
    </row>
    <row r="37" spans="5:18" ht="15">
      <c r="E37" s="1"/>
      <c r="F37" s="2"/>
      <c r="G37" s="1"/>
      <c r="H37" s="1"/>
      <c r="I37" s="1"/>
      <c r="J37" s="1"/>
      <c r="K37" s="1"/>
      <c r="L37" s="1"/>
      <c r="M37" s="1"/>
      <c r="N37" s="4"/>
      <c r="O37" s="4"/>
      <c r="P37" s="4"/>
      <c r="Q37" s="4"/>
      <c r="R37" s="4"/>
    </row>
    <row r="38" spans="5:18" ht="15">
      <c r="E38" s="1"/>
      <c r="F38" s="2"/>
      <c r="G38" s="1"/>
      <c r="H38" s="1"/>
      <c r="I38" s="1"/>
      <c r="J38" s="1"/>
      <c r="K38" s="1"/>
      <c r="L38" s="1"/>
      <c r="M38" s="1"/>
      <c r="N38" s="4"/>
      <c r="O38" s="4"/>
      <c r="P38" s="4"/>
      <c r="Q38" s="4"/>
      <c r="R38" s="4"/>
    </row>
    <row r="39" spans="5:18" ht="15">
      <c r="E39" s="1"/>
      <c r="F39" s="2"/>
      <c r="G39" s="1"/>
      <c r="H39" s="1"/>
      <c r="I39" s="1"/>
      <c r="J39" s="1"/>
      <c r="K39" s="1"/>
      <c r="L39" s="1"/>
      <c r="M39" s="1"/>
      <c r="N39" s="4"/>
      <c r="O39" s="4"/>
      <c r="P39" s="4"/>
      <c r="Q39" s="4"/>
      <c r="R39" s="4"/>
    </row>
    <row r="40" spans="5:18" ht="15">
      <c r="E40" s="1"/>
      <c r="F40" s="2"/>
      <c r="G40" s="1"/>
      <c r="H40" s="1"/>
      <c r="I40" s="1"/>
      <c r="J40" s="1"/>
      <c r="K40" s="1"/>
      <c r="L40" s="1"/>
      <c r="M40" s="1"/>
      <c r="N40" s="4"/>
      <c r="O40" s="4"/>
      <c r="P40" s="4"/>
      <c r="Q40" s="4"/>
      <c r="R40" s="4"/>
    </row>
    <row r="41" spans="5:18" ht="15" customHeight="1"/>
    <row r="42" spans="5:18" ht="15" customHeight="1"/>
    <row r="43" spans="5:18" ht="15" customHeight="1"/>
    <row r="44" spans="5:18" ht="15" customHeight="1"/>
    <row r="45" spans="5:18" ht="15" customHeight="1"/>
    <row r="46" spans="5:18" ht="15" customHeight="1"/>
    <row r="47" spans="5:18" ht="15" customHeight="1"/>
  </sheetData>
  <sheetProtection algorithmName="SHA-512" hashValue="k0XXXqCrJVR9CGhg85eiKGyyk9MAFPv/Gg2V7J4YqciuW5/VKdXVFdTRfxJoxH/gfao8SjKEgNAWRtiieKZ0dg==" saltValue="gxf+eqZ465TDEFDV2GQ7bA==" spinCount="100000" sheet="1" selectLockedCells="1"/>
  <mergeCells count="7">
    <mergeCell ref="F30:L32"/>
    <mergeCell ref="J9:K9"/>
    <mergeCell ref="J10:K10"/>
    <mergeCell ref="J11:K11"/>
    <mergeCell ref="J12:K12"/>
    <mergeCell ref="J13:K13"/>
    <mergeCell ref="F26:H26"/>
  </mergeCells>
  <pageMargins left="0.39370078740157483" right="0.39370078740157483" top="0.39370078740157483" bottom="0.39370078740157483" header="0" footer="0"/>
  <pageSetup paperSize="9" scale="86" orientation="landscape" horizontalDpi="200" verticalDpi="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08794-70CC-41E2-8557-736A463A6B2B}">
  <sheetPr>
    <pageSetUpPr fitToPage="1"/>
  </sheetPr>
  <dimension ref="A1:AJ47"/>
  <sheetViews>
    <sheetView showGridLines="0" topLeftCell="E1" zoomScale="90" zoomScaleNormal="90" workbookViewId="0">
      <selection activeCell="G11" sqref="G11"/>
    </sheetView>
  </sheetViews>
  <sheetFormatPr baseColWidth="10" defaultColWidth="16.140625" defaultRowHeight="0" customHeight="1" zeroHeight="1" outlineLevelCol="3"/>
  <cols>
    <col min="1" max="1" width="3.28515625" style="5" hidden="1" customWidth="1"/>
    <col min="2" max="2" width="37.7109375" style="5" hidden="1" customWidth="1" outlineLevel="3"/>
    <col min="3" max="3" width="15.85546875" style="5" hidden="1" customWidth="1" outlineLevel="3"/>
    <col min="4" max="4" width="38.7109375" style="5" hidden="1" customWidth="1" outlineLevel="3"/>
    <col min="5" max="5" width="5.7109375" style="53" customWidth="1" collapsed="1"/>
    <col min="6" max="6" width="38.85546875" style="54" bestFit="1" customWidth="1"/>
    <col min="7" max="7" width="16.7109375" style="53" bestFit="1" customWidth="1"/>
    <col min="8" max="8" width="13.5703125" style="53" bestFit="1" customWidth="1"/>
    <col min="9" max="9" width="17" style="53" customWidth="1"/>
    <col min="10" max="10" width="18.28515625" style="53" bestFit="1" customWidth="1"/>
    <col min="11" max="11" width="20.7109375" style="53" bestFit="1" customWidth="1"/>
    <col min="12" max="12" width="18.28515625" style="53" customWidth="1"/>
    <col min="13" max="13" width="12.5703125" style="53" customWidth="1"/>
    <col min="14" max="15" width="16.140625" style="5" hidden="1" customWidth="1" outlineLevel="3"/>
    <col min="16" max="16" width="7.5703125" style="5" hidden="1" customWidth="1" outlineLevel="3"/>
    <col min="17" max="17" width="16.140625" style="5" hidden="1" customWidth="1" outlineLevel="3"/>
    <col min="18" max="18" width="16.140625" style="5" customWidth="1" collapsed="1"/>
    <col min="19" max="35" width="16.140625" style="5" customWidth="1"/>
    <col min="36" max="36" width="16.140625" style="5"/>
    <col min="37" max="16384" width="16.140625" style="5" outlineLevel="1"/>
  </cols>
  <sheetData>
    <row r="1" spans="2:18" ht="15">
      <c r="E1" s="1"/>
      <c r="F1" s="2"/>
      <c r="G1" s="1"/>
      <c r="H1" s="1"/>
      <c r="I1" s="1"/>
      <c r="J1" s="1"/>
      <c r="K1" s="1"/>
      <c r="L1" s="1"/>
      <c r="M1" s="1"/>
      <c r="N1" s="4"/>
      <c r="O1" s="4"/>
      <c r="P1" s="4"/>
      <c r="Q1" s="4"/>
      <c r="R1" s="4"/>
    </row>
    <row r="2" spans="2:18" ht="15">
      <c r="E2" s="1"/>
      <c r="F2" s="2"/>
      <c r="G2" s="1"/>
      <c r="H2" s="1"/>
      <c r="I2" s="1"/>
      <c r="J2" s="1"/>
      <c r="K2" s="1"/>
      <c r="L2" s="1"/>
      <c r="M2" s="1"/>
      <c r="N2" s="4"/>
      <c r="O2" s="4"/>
      <c r="P2" s="4"/>
      <c r="Q2" s="4"/>
      <c r="R2" s="4"/>
    </row>
    <row r="3" spans="2:18" ht="15">
      <c r="E3" s="1"/>
      <c r="F3" s="6"/>
      <c r="G3" s="6"/>
      <c r="H3" s="6"/>
      <c r="I3" s="6"/>
      <c r="J3" s="1"/>
      <c r="K3" s="1"/>
      <c r="L3" s="1"/>
      <c r="M3" s="1"/>
      <c r="N3" s="4"/>
      <c r="O3" s="4"/>
      <c r="P3" s="4"/>
      <c r="Q3" s="4"/>
      <c r="R3" s="4"/>
    </row>
    <row r="4" spans="2:18" ht="33" customHeight="1">
      <c r="E4" s="1"/>
      <c r="F4" s="2"/>
      <c r="G4" s="1"/>
      <c r="H4" s="1"/>
      <c r="I4" s="1"/>
      <c r="J4" s="1"/>
      <c r="K4" s="1"/>
      <c r="L4" s="1"/>
      <c r="M4" s="1"/>
      <c r="N4" s="4"/>
      <c r="O4" s="4"/>
      <c r="P4" s="4"/>
      <c r="Q4" s="4"/>
      <c r="R4" s="4"/>
    </row>
    <row r="5" spans="2:18" ht="15">
      <c r="E5" s="1"/>
      <c r="F5" s="7" t="s">
        <v>22</v>
      </c>
      <c r="G5" s="1"/>
      <c r="H5" s="1"/>
      <c r="I5" s="1"/>
      <c r="J5" s="1"/>
      <c r="K5" s="1"/>
      <c r="L5" s="1"/>
      <c r="M5" s="1"/>
      <c r="N5" s="4"/>
      <c r="O5" s="4"/>
      <c r="P5" s="4"/>
      <c r="Q5" s="4"/>
      <c r="R5" s="4"/>
    </row>
    <row r="6" spans="2:18" ht="15">
      <c r="E6" s="1"/>
      <c r="F6" s="7" t="s">
        <v>23</v>
      </c>
      <c r="G6" s="1"/>
      <c r="H6" s="1"/>
      <c r="I6" s="1"/>
      <c r="J6" s="1"/>
      <c r="K6" s="1"/>
      <c r="L6" s="1"/>
      <c r="M6" s="1"/>
      <c r="N6" s="4"/>
      <c r="O6" s="4"/>
      <c r="P6" s="4"/>
      <c r="Q6" s="4"/>
      <c r="R6" s="4"/>
    </row>
    <row r="7" spans="2:18" ht="15">
      <c r="E7" s="1"/>
      <c r="F7" s="2"/>
      <c r="G7" s="1"/>
      <c r="H7" s="1"/>
      <c r="I7" s="1"/>
      <c r="J7" s="1"/>
      <c r="K7" s="1"/>
      <c r="L7" s="1"/>
      <c r="M7" s="1"/>
      <c r="N7" s="4"/>
      <c r="O7" s="4"/>
      <c r="P7" s="4"/>
      <c r="Q7" s="4"/>
      <c r="R7" s="4"/>
    </row>
    <row r="8" spans="2:18" ht="15">
      <c r="E8" s="1"/>
      <c r="F8" s="2"/>
      <c r="G8" s="1"/>
      <c r="H8" s="1"/>
      <c r="I8" s="1"/>
      <c r="J8" s="1"/>
      <c r="K8" s="1"/>
      <c r="L8" s="1"/>
      <c r="M8" s="20"/>
      <c r="N8" s="4"/>
      <c r="O8" s="4"/>
      <c r="P8" s="4"/>
      <c r="Q8" s="4"/>
      <c r="R8" s="4"/>
    </row>
    <row r="9" spans="2:18" ht="15">
      <c r="E9" s="1"/>
      <c r="F9" s="8" t="s">
        <v>42</v>
      </c>
      <c r="G9" s="9">
        <v>500000</v>
      </c>
      <c r="H9" s="1"/>
      <c r="I9" s="1"/>
      <c r="J9" s="71" t="s">
        <v>1</v>
      </c>
      <c r="K9" s="71"/>
      <c r="L9" s="10">
        <f>+XIRR(L17:L25,F17:F25)</f>
        <v>8.243098556995393E-2</v>
      </c>
      <c r="M9" s="55"/>
      <c r="N9" s="4"/>
      <c r="O9" s="4"/>
      <c r="P9" s="4"/>
      <c r="Q9" s="4"/>
      <c r="R9" s="4"/>
    </row>
    <row r="10" spans="2:18" ht="15">
      <c r="E10" s="1"/>
      <c r="F10" s="8" t="s">
        <v>2</v>
      </c>
      <c r="G10" s="12">
        <f>+'Clase A'!$G$10</f>
        <v>45517</v>
      </c>
      <c r="H10" s="1"/>
      <c r="I10" s="1"/>
      <c r="J10" s="71" t="s">
        <v>3</v>
      </c>
      <c r="K10" s="71"/>
      <c r="L10" s="10">
        <f>+NOMINAL(L9,4)</f>
        <v>7.9998893307887009E-2</v>
      </c>
      <c r="M10" s="55"/>
      <c r="N10" s="4"/>
      <c r="O10" s="4"/>
      <c r="P10" s="4"/>
      <c r="Q10" s="4"/>
      <c r="R10" s="4"/>
    </row>
    <row r="11" spans="2:18" ht="15">
      <c r="E11" s="1"/>
      <c r="F11" s="8" t="s">
        <v>26</v>
      </c>
      <c r="G11" s="14">
        <v>0.08</v>
      </c>
      <c r="H11" s="1"/>
      <c r="I11" s="1"/>
      <c r="J11" s="71" t="s">
        <v>4</v>
      </c>
      <c r="K11" s="71"/>
      <c r="L11" s="15">
        <f>+SUM(Q18:Q25)/(365/12)</f>
        <v>19.80058037108984</v>
      </c>
      <c r="M11" s="56"/>
      <c r="N11" s="4"/>
      <c r="O11" s="4"/>
      <c r="P11" s="4"/>
      <c r="Q11" s="4"/>
      <c r="R11" s="4"/>
    </row>
    <row r="12" spans="2:18" ht="15">
      <c r="E12" s="1"/>
      <c r="F12" s="8" t="s">
        <v>27</v>
      </c>
      <c r="G12" s="66">
        <v>1106.76</v>
      </c>
      <c r="H12" s="16"/>
      <c r="I12" s="6"/>
      <c r="J12" s="71" t="s">
        <v>29</v>
      </c>
      <c r="K12" s="71"/>
      <c r="L12" s="15">
        <f>+L11/12</f>
        <v>1.6500483642574866</v>
      </c>
      <c r="M12" s="55"/>
      <c r="N12" s="18"/>
      <c r="O12" s="4"/>
      <c r="P12" s="4"/>
      <c r="Q12" s="4"/>
      <c r="R12" s="4"/>
    </row>
    <row r="13" spans="2:18" ht="15">
      <c r="E13" s="1"/>
      <c r="H13" s="16"/>
      <c r="I13" s="6"/>
      <c r="J13" s="71" t="s">
        <v>6</v>
      </c>
      <c r="K13" s="71"/>
      <c r="L13" s="65">
        <f>+N26/G17</f>
        <v>1.0000000003468816</v>
      </c>
      <c r="M13" s="57"/>
      <c r="N13" s="18"/>
      <c r="O13" s="4"/>
      <c r="P13" s="4"/>
      <c r="Q13" s="4"/>
      <c r="R13" s="4"/>
    </row>
    <row r="14" spans="2:18" s="19" customFormat="1" ht="15">
      <c r="E14" s="20"/>
      <c r="F14" s="21"/>
      <c r="G14" s="22"/>
      <c r="H14" s="23"/>
      <c r="I14" s="24"/>
      <c r="J14" s="24"/>
      <c r="K14" s="24"/>
      <c r="L14" s="24"/>
      <c r="M14" s="24"/>
      <c r="N14" s="25"/>
      <c r="O14" s="3"/>
      <c r="P14" s="3"/>
      <c r="Q14" s="3"/>
      <c r="R14" s="3"/>
    </row>
    <row r="15" spans="2:18" ht="15.75" thickBot="1">
      <c r="E15" s="1"/>
      <c r="F15" s="2"/>
      <c r="G15" s="1"/>
      <c r="H15" s="1"/>
      <c r="I15" s="1"/>
      <c r="J15" s="1"/>
      <c r="K15" s="1"/>
      <c r="L15" s="1"/>
      <c r="M15" s="20"/>
      <c r="N15" s="18"/>
      <c r="O15" s="4"/>
      <c r="P15" s="4"/>
      <c r="Q15" s="4"/>
      <c r="R15" s="4"/>
    </row>
    <row r="16" spans="2:18" s="34" customFormat="1" ht="28.5" customHeight="1" thickBot="1">
      <c r="B16" s="26"/>
      <c r="C16" s="26" t="s">
        <v>7</v>
      </c>
      <c r="D16" s="26"/>
      <c r="E16" s="27"/>
      <c r="F16" s="28" t="s">
        <v>8</v>
      </c>
      <c r="G16" s="28" t="s">
        <v>36</v>
      </c>
      <c r="H16" s="28" t="s">
        <v>10</v>
      </c>
      <c r="I16" s="28" t="s">
        <v>37</v>
      </c>
      <c r="J16" s="28" t="s">
        <v>38</v>
      </c>
      <c r="K16" s="28" t="s">
        <v>39</v>
      </c>
      <c r="L16" s="29" t="s">
        <v>40</v>
      </c>
      <c r="M16" s="58"/>
      <c r="N16" s="31" t="s">
        <v>15</v>
      </c>
      <c r="O16" s="31" t="s">
        <v>16</v>
      </c>
      <c r="P16" s="32"/>
      <c r="Q16" s="31" t="s">
        <v>17</v>
      </c>
      <c r="R16" s="33"/>
    </row>
    <row r="17" spans="2:18" ht="15">
      <c r="B17" s="35">
        <f>+D17</f>
        <v>45517</v>
      </c>
      <c r="C17" s="64">
        <f t="shared" ref="C17:C25" si="0">+$G$11</f>
        <v>0.08</v>
      </c>
      <c r="D17" s="35">
        <f>+G10</f>
        <v>45517</v>
      </c>
      <c r="E17" s="37"/>
      <c r="F17" s="38">
        <f>+G10</f>
        <v>45517</v>
      </c>
      <c r="G17" s="39">
        <f>G9</f>
        <v>500000</v>
      </c>
      <c r="H17" s="40"/>
      <c r="I17" s="39"/>
      <c r="J17" s="39"/>
      <c r="K17" s="39">
        <f t="shared" ref="K17:K22" si="1">+G17-J17</f>
        <v>500000</v>
      </c>
      <c r="L17" s="41">
        <f>-G17</f>
        <v>-500000</v>
      </c>
      <c r="M17" s="59"/>
      <c r="N17" s="43"/>
      <c r="O17" s="43"/>
      <c r="P17" s="44"/>
      <c r="Q17" s="44"/>
      <c r="R17" s="4"/>
    </row>
    <row r="18" spans="2:18" ht="15">
      <c r="B18" s="35">
        <v>45609</v>
      </c>
      <c r="C18" s="64">
        <f t="shared" si="0"/>
        <v>0.08</v>
      </c>
      <c r="D18" s="45">
        <f>+B18</f>
        <v>45609</v>
      </c>
      <c r="E18" s="37"/>
      <c r="F18" s="46">
        <f>+D18</f>
        <v>45609</v>
      </c>
      <c r="G18" s="39">
        <f t="shared" ref="G18:G22" si="2">+K17</f>
        <v>500000</v>
      </c>
      <c r="H18" s="62">
        <f>+B18-B17</f>
        <v>92</v>
      </c>
      <c r="I18" s="39">
        <f t="shared" ref="I18:I25" si="3">+G18*($G$11)*(H18)/365</f>
        <v>10082.191780821919</v>
      </c>
      <c r="J18" s="39"/>
      <c r="K18" s="39">
        <f t="shared" si="1"/>
        <v>500000</v>
      </c>
      <c r="L18" s="41">
        <f>+I18+J18</f>
        <v>10082.191780821919</v>
      </c>
      <c r="M18" s="59"/>
      <c r="N18" s="47">
        <f t="shared" ref="N18:N25" si="4">+L18/(1+$L$9)^((O18)/365)</f>
        <v>9882.8957650186803</v>
      </c>
      <c r="O18" s="48">
        <f t="shared" ref="O18:O25" si="5">+F18-$F$17</f>
        <v>92</v>
      </c>
      <c r="P18" s="44"/>
      <c r="Q18" s="49">
        <f>+(N18/$N$26)*O18</f>
        <v>1.8184528201326495</v>
      </c>
      <c r="R18" s="4"/>
    </row>
    <row r="19" spans="2:18" ht="15">
      <c r="B19" s="35">
        <v>45701</v>
      </c>
      <c r="C19" s="64">
        <f t="shared" si="0"/>
        <v>0.08</v>
      </c>
      <c r="D19" s="45">
        <f t="shared" ref="D19" si="6">+B19</f>
        <v>45701</v>
      </c>
      <c r="E19" s="37"/>
      <c r="F19" s="46">
        <f t="shared" ref="F19:F22" si="7">+D19</f>
        <v>45701</v>
      </c>
      <c r="G19" s="39">
        <f t="shared" si="2"/>
        <v>500000</v>
      </c>
      <c r="H19" s="62">
        <f t="shared" ref="H19:H24" si="8">+B19-B18</f>
        <v>92</v>
      </c>
      <c r="I19" s="39">
        <f t="shared" si="3"/>
        <v>10082.191780821919</v>
      </c>
      <c r="J19" s="39"/>
      <c r="K19" s="39">
        <f t="shared" si="1"/>
        <v>500000</v>
      </c>
      <c r="L19" s="41">
        <f t="shared" ref="L19:L22" si="9">+I19+J19</f>
        <v>10082.191780821919</v>
      </c>
      <c r="M19" s="59"/>
      <c r="N19" s="47">
        <f t="shared" si="4"/>
        <v>9687.5392598673425</v>
      </c>
      <c r="O19" s="48">
        <f t="shared" si="5"/>
        <v>184</v>
      </c>
      <c r="P19" s="44"/>
      <c r="Q19" s="49">
        <f>+(N19/$N$26)*O19</f>
        <v>3.5650144463945441</v>
      </c>
      <c r="R19" s="4"/>
    </row>
    <row r="20" spans="2:18" ht="15">
      <c r="B20" s="35">
        <v>45790</v>
      </c>
      <c r="C20" s="64">
        <f t="shared" si="0"/>
        <v>0.08</v>
      </c>
      <c r="D20" s="45">
        <f t="shared" ref="D20:D25" si="10">+B20</f>
        <v>45790</v>
      </c>
      <c r="E20" s="37"/>
      <c r="F20" s="46">
        <f t="shared" si="7"/>
        <v>45790</v>
      </c>
      <c r="G20" s="39">
        <f t="shared" si="2"/>
        <v>500000</v>
      </c>
      <c r="H20" s="62">
        <f>+B20-B19</f>
        <v>89</v>
      </c>
      <c r="I20" s="39">
        <f t="shared" si="3"/>
        <v>9753.4246575342459</v>
      </c>
      <c r="J20" s="39"/>
      <c r="K20" s="39">
        <f t="shared" si="1"/>
        <v>500000</v>
      </c>
      <c r="L20" s="41">
        <f t="shared" si="9"/>
        <v>9753.4246575342459</v>
      </c>
      <c r="M20" s="59"/>
      <c r="N20" s="47">
        <f t="shared" si="4"/>
        <v>9192.373392724483</v>
      </c>
      <c r="O20" s="48">
        <f t="shared" si="5"/>
        <v>273</v>
      </c>
      <c r="P20" s="44"/>
      <c r="Q20" s="49">
        <f>+(N20/$N$26)*O20</f>
        <v>5.0190358706865572</v>
      </c>
      <c r="R20" s="4"/>
    </row>
    <row r="21" spans="2:18" ht="15">
      <c r="B21" s="35">
        <v>45882</v>
      </c>
      <c r="C21" s="64">
        <f t="shared" si="0"/>
        <v>0.08</v>
      </c>
      <c r="D21" s="45">
        <f t="shared" si="10"/>
        <v>45882</v>
      </c>
      <c r="E21" s="37"/>
      <c r="F21" s="46">
        <f t="shared" si="7"/>
        <v>45882</v>
      </c>
      <c r="G21" s="39">
        <f t="shared" si="2"/>
        <v>500000</v>
      </c>
      <c r="H21" s="62">
        <f t="shared" si="8"/>
        <v>92</v>
      </c>
      <c r="I21" s="39">
        <f t="shared" si="3"/>
        <v>10082.191780821919</v>
      </c>
      <c r="J21" s="39"/>
      <c r="K21" s="39">
        <f t="shared" si="1"/>
        <v>500000</v>
      </c>
      <c r="L21" s="41">
        <f t="shared" si="9"/>
        <v>10082.191780821919</v>
      </c>
      <c r="M21" s="59"/>
      <c r="N21" s="47">
        <f t="shared" si="4"/>
        <v>9314.3968670789127</v>
      </c>
      <c r="O21" s="48">
        <f t="shared" si="5"/>
        <v>365</v>
      </c>
      <c r="P21" s="44"/>
      <c r="Q21" s="49">
        <f>+(N21/$N$26)*O21</f>
        <v>6.799509710608981</v>
      </c>
      <c r="R21" s="4"/>
    </row>
    <row r="22" spans="2:18" ht="15">
      <c r="B22" s="35">
        <v>45974</v>
      </c>
      <c r="C22" s="64">
        <f t="shared" si="0"/>
        <v>0.08</v>
      </c>
      <c r="D22" s="45">
        <f t="shared" si="10"/>
        <v>45974</v>
      </c>
      <c r="E22" s="37"/>
      <c r="F22" s="46">
        <f t="shared" si="7"/>
        <v>45974</v>
      </c>
      <c r="G22" s="39">
        <f t="shared" si="2"/>
        <v>500000</v>
      </c>
      <c r="H22" s="62">
        <f t="shared" si="8"/>
        <v>92</v>
      </c>
      <c r="I22" s="39">
        <f t="shared" si="3"/>
        <v>10082.191780821919</v>
      </c>
      <c r="J22" s="39"/>
      <c r="K22" s="39">
        <f t="shared" si="1"/>
        <v>500000</v>
      </c>
      <c r="L22" s="41">
        <f t="shared" si="9"/>
        <v>10082.191780821919</v>
      </c>
      <c r="M22" s="59"/>
      <c r="N22" s="47">
        <f t="shared" si="4"/>
        <v>9130.2779546862694</v>
      </c>
      <c r="O22" s="48">
        <f t="shared" si="5"/>
        <v>457</v>
      </c>
      <c r="P22" s="44"/>
      <c r="Q22" s="49">
        <f>+(N22/$N$26)*O22</f>
        <v>8.345074047688497</v>
      </c>
      <c r="R22" s="4"/>
    </row>
    <row r="23" spans="2:18" ht="15">
      <c r="B23" s="35">
        <v>46066</v>
      </c>
      <c r="C23" s="64">
        <f t="shared" si="0"/>
        <v>0.08</v>
      </c>
      <c r="D23" s="45">
        <f t="shared" si="10"/>
        <v>46066</v>
      </c>
      <c r="E23" s="37"/>
      <c r="F23" s="46">
        <f t="shared" ref="F23:F25" si="11">+D23</f>
        <v>46066</v>
      </c>
      <c r="G23" s="39">
        <f t="shared" ref="G23:G25" si="12">+K22</f>
        <v>500000</v>
      </c>
      <c r="H23" s="62">
        <f t="shared" si="8"/>
        <v>92</v>
      </c>
      <c r="I23" s="39">
        <f t="shared" si="3"/>
        <v>10082.191780821919</v>
      </c>
      <c r="J23" s="39">
        <f>50%*$G$9</f>
        <v>250000</v>
      </c>
      <c r="K23" s="39">
        <f t="shared" ref="K23:K25" si="13">+G23-J23</f>
        <v>250000</v>
      </c>
      <c r="L23" s="41">
        <f t="shared" ref="L23:L25" si="14">+I23+J23</f>
        <v>260082.19178082192</v>
      </c>
      <c r="M23" s="59"/>
      <c r="N23" s="47">
        <f t="shared" si="4"/>
        <v>230870.75431794694</v>
      </c>
      <c r="O23" s="48">
        <f t="shared" si="5"/>
        <v>549</v>
      </c>
      <c r="P23" s="44"/>
      <c r="Q23" s="49">
        <f t="shared" ref="Q23:Q24" si="15">+(N23/$N$26)*O23</f>
        <v>253.49608815317262</v>
      </c>
      <c r="R23" s="4"/>
    </row>
    <row r="24" spans="2:18" ht="15">
      <c r="B24" s="35">
        <v>46155</v>
      </c>
      <c r="C24" s="64">
        <f t="shared" si="0"/>
        <v>0.08</v>
      </c>
      <c r="D24" s="45">
        <f t="shared" si="10"/>
        <v>46155</v>
      </c>
      <c r="E24" s="37"/>
      <c r="F24" s="46">
        <f t="shared" si="11"/>
        <v>46155</v>
      </c>
      <c r="G24" s="39">
        <f t="shared" si="12"/>
        <v>250000</v>
      </c>
      <c r="H24" s="62">
        <f t="shared" si="8"/>
        <v>89</v>
      </c>
      <c r="I24" s="39">
        <f t="shared" si="3"/>
        <v>4876.7123287671229</v>
      </c>
      <c r="J24" s="39"/>
      <c r="K24" s="39">
        <f t="shared" si="13"/>
        <v>250000</v>
      </c>
      <c r="L24" s="41">
        <f t="shared" si="14"/>
        <v>4876.7123287671229</v>
      </c>
      <c r="M24" s="59"/>
      <c r="N24" s="47">
        <f t="shared" si="4"/>
        <v>4246.1706636586359</v>
      </c>
      <c r="O24" s="48">
        <f t="shared" si="5"/>
        <v>638</v>
      </c>
      <c r="P24" s="44"/>
      <c r="Q24" s="49">
        <f t="shared" si="15"/>
        <v>5.4181137649489752</v>
      </c>
      <c r="R24" s="4"/>
    </row>
    <row r="25" spans="2:18" ht="15.75" thickBot="1">
      <c r="B25" s="35">
        <v>46247</v>
      </c>
      <c r="C25" s="64">
        <f t="shared" si="0"/>
        <v>0.08</v>
      </c>
      <c r="D25" s="45">
        <f t="shared" si="10"/>
        <v>46247</v>
      </c>
      <c r="E25" s="37"/>
      <c r="F25" s="46">
        <f t="shared" si="11"/>
        <v>46247</v>
      </c>
      <c r="G25" s="39">
        <f t="shared" si="12"/>
        <v>250000</v>
      </c>
      <c r="H25" s="62">
        <f>+D25-B24</f>
        <v>92</v>
      </c>
      <c r="I25" s="39">
        <f t="shared" si="3"/>
        <v>5041.0958904109593</v>
      </c>
      <c r="J25" s="39">
        <f>50%*$G$9</f>
        <v>250000</v>
      </c>
      <c r="K25" s="39">
        <f t="shared" si="13"/>
        <v>0</v>
      </c>
      <c r="L25" s="41">
        <f t="shared" si="14"/>
        <v>255041.09589041097</v>
      </c>
      <c r="M25" s="59"/>
      <c r="N25" s="47">
        <f t="shared" si="4"/>
        <v>217675.59195245957</v>
      </c>
      <c r="O25" s="48">
        <f t="shared" si="5"/>
        <v>730</v>
      </c>
      <c r="P25" s="44"/>
      <c r="Q25" s="49">
        <f>+(N25/$N$26)*O25</f>
        <v>317.80636414034979</v>
      </c>
      <c r="R25" s="4"/>
    </row>
    <row r="26" spans="2:18" ht="15.75" thickBot="1">
      <c r="B26" s="35"/>
      <c r="C26" s="36"/>
      <c r="D26" s="50"/>
      <c r="E26" s="1"/>
      <c r="F26" s="72" t="s">
        <v>18</v>
      </c>
      <c r="G26" s="73"/>
      <c r="H26" s="73"/>
      <c r="I26" s="67">
        <f>SUM(I18:I25)</f>
        <v>70082.191780821915</v>
      </c>
      <c r="J26" s="67">
        <f>SUM(J18:J25)</f>
        <v>500000</v>
      </c>
      <c r="K26" s="67"/>
      <c r="L26" s="68">
        <f>SUM(L17:L25)</f>
        <v>70082.191780822002</v>
      </c>
      <c r="M26" s="60"/>
      <c r="N26" s="52">
        <f>SUM(N18:N25)</f>
        <v>500000.00017344079</v>
      </c>
      <c r="O26" s="44"/>
      <c r="P26" s="44"/>
      <c r="Q26" s="44"/>
      <c r="R26" s="4"/>
    </row>
    <row r="27" spans="2:18" ht="15">
      <c r="E27" s="1"/>
      <c r="F27" s="2"/>
      <c r="G27" s="1"/>
      <c r="H27" s="1"/>
      <c r="I27" s="1"/>
      <c r="J27" s="1"/>
      <c r="K27" s="1"/>
      <c r="L27" s="1"/>
      <c r="M27" s="20"/>
      <c r="N27" s="4"/>
      <c r="O27" s="4"/>
      <c r="P27" s="4"/>
      <c r="Q27" s="4"/>
      <c r="R27" s="4"/>
    </row>
    <row r="28" spans="2:18" ht="15">
      <c r="E28" s="1"/>
      <c r="F28" s="1"/>
      <c r="G28" s="1"/>
      <c r="H28" s="1"/>
      <c r="I28" s="1"/>
      <c r="J28" s="1"/>
      <c r="K28" s="1"/>
      <c r="L28" s="1"/>
      <c r="M28" s="20"/>
      <c r="N28" s="4"/>
      <c r="O28" s="4"/>
      <c r="P28" s="4"/>
      <c r="Q28" s="4"/>
      <c r="R28" s="4"/>
    </row>
    <row r="29" spans="2:18" ht="15">
      <c r="E29" s="1"/>
      <c r="F29" s="1"/>
      <c r="G29" s="1"/>
      <c r="H29" s="1"/>
      <c r="I29" s="1"/>
      <c r="J29" s="1"/>
      <c r="K29" s="1"/>
      <c r="L29" s="1"/>
      <c r="M29" s="1"/>
      <c r="N29" s="4"/>
      <c r="O29" s="4"/>
      <c r="P29" s="4"/>
      <c r="Q29" s="4"/>
      <c r="R29" s="4"/>
    </row>
    <row r="30" spans="2:18" ht="15" customHeight="1">
      <c r="E30" s="1"/>
      <c r="F30" s="70" t="s">
        <v>44</v>
      </c>
      <c r="G30" s="70"/>
      <c r="H30" s="70"/>
      <c r="I30" s="70"/>
      <c r="J30" s="70"/>
      <c r="K30" s="70"/>
      <c r="L30" s="70"/>
      <c r="M30" s="1"/>
      <c r="N30" s="61"/>
      <c r="O30" s="61"/>
      <c r="P30" s="61"/>
      <c r="Q30" s="4"/>
      <c r="R30" s="4"/>
    </row>
    <row r="31" spans="2:18" ht="15">
      <c r="E31" s="1"/>
      <c r="F31" s="70"/>
      <c r="G31" s="70"/>
      <c r="H31" s="70"/>
      <c r="I31" s="70"/>
      <c r="J31" s="70"/>
      <c r="K31" s="70"/>
      <c r="L31" s="70"/>
      <c r="M31" s="1"/>
      <c r="N31" s="61"/>
      <c r="O31" s="61"/>
      <c r="P31" s="61"/>
      <c r="Q31" s="4"/>
      <c r="R31" s="4"/>
    </row>
    <row r="32" spans="2:18" ht="15">
      <c r="E32" s="1"/>
      <c r="F32" s="70"/>
      <c r="G32" s="70"/>
      <c r="H32" s="70"/>
      <c r="I32" s="70"/>
      <c r="J32" s="70"/>
      <c r="K32" s="70"/>
      <c r="L32" s="70"/>
      <c r="M32" s="1"/>
      <c r="N32" s="61"/>
      <c r="O32" s="61"/>
      <c r="P32" s="61"/>
      <c r="Q32" s="4"/>
      <c r="R32" s="4"/>
    </row>
    <row r="33" spans="5:18" ht="15">
      <c r="E33" s="1"/>
      <c r="F33" s="2"/>
      <c r="G33" s="1"/>
      <c r="H33" s="1"/>
      <c r="I33" s="1"/>
      <c r="J33" s="1"/>
      <c r="K33" s="1"/>
      <c r="L33" s="1"/>
      <c r="M33" s="1"/>
      <c r="N33" s="4"/>
      <c r="O33" s="4"/>
      <c r="P33" s="4"/>
      <c r="Q33" s="4"/>
      <c r="R33" s="4"/>
    </row>
    <row r="34" spans="5:18" ht="15">
      <c r="E34" s="1"/>
      <c r="F34" s="2"/>
      <c r="G34" s="1"/>
      <c r="H34" s="1"/>
      <c r="I34" s="1"/>
      <c r="J34" s="1"/>
      <c r="K34" s="1"/>
      <c r="L34" s="1"/>
      <c r="M34" s="1"/>
      <c r="N34" s="4"/>
      <c r="O34" s="4"/>
      <c r="P34" s="4"/>
      <c r="Q34" s="4"/>
      <c r="R34" s="4"/>
    </row>
    <row r="35" spans="5:18" ht="15">
      <c r="E35" s="1"/>
      <c r="F35" s="7"/>
      <c r="G35" s="1"/>
      <c r="H35" s="1"/>
      <c r="I35" s="1"/>
      <c r="J35" s="1"/>
      <c r="K35" s="1"/>
      <c r="L35" s="1"/>
      <c r="M35" s="1"/>
      <c r="N35" s="4"/>
      <c r="O35" s="4"/>
      <c r="P35" s="4"/>
      <c r="Q35" s="4"/>
      <c r="R35" s="4"/>
    </row>
    <row r="36" spans="5:18" ht="15">
      <c r="E36" s="1"/>
      <c r="F36" s="7"/>
      <c r="G36" s="1"/>
      <c r="H36" s="1"/>
      <c r="I36" s="1"/>
      <c r="J36" s="1"/>
      <c r="K36" s="1"/>
      <c r="L36" s="1"/>
      <c r="M36" s="1"/>
      <c r="N36" s="4"/>
      <c r="O36" s="4"/>
      <c r="P36" s="4"/>
      <c r="Q36" s="4"/>
      <c r="R36" s="4"/>
    </row>
    <row r="37" spans="5:18" ht="15">
      <c r="E37" s="1"/>
      <c r="F37" s="2"/>
      <c r="G37" s="1"/>
      <c r="H37" s="1"/>
      <c r="I37" s="1"/>
      <c r="J37" s="1"/>
      <c r="K37" s="1"/>
      <c r="L37" s="1"/>
      <c r="M37" s="1"/>
      <c r="N37" s="4"/>
      <c r="O37" s="4"/>
      <c r="P37" s="4"/>
      <c r="Q37" s="4"/>
      <c r="R37" s="4"/>
    </row>
    <row r="38" spans="5:18" ht="15">
      <c r="E38" s="1"/>
      <c r="F38" s="2"/>
      <c r="G38" s="1"/>
      <c r="H38" s="1"/>
      <c r="I38" s="1"/>
      <c r="J38" s="1"/>
      <c r="K38" s="1"/>
      <c r="L38" s="1"/>
      <c r="M38" s="1"/>
      <c r="N38" s="4"/>
      <c r="O38" s="4"/>
      <c r="P38" s="4"/>
      <c r="Q38" s="4"/>
      <c r="R38" s="4"/>
    </row>
    <row r="39" spans="5:18" ht="15">
      <c r="E39" s="1"/>
      <c r="F39" s="2"/>
      <c r="G39" s="1"/>
      <c r="H39" s="1"/>
      <c r="I39" s="1"/>
      <c r="J39" s="1"/>
      <c r="K39" s="1"/>
      <c r="L39" s="1"/>
      <c r="M39" s="1"/>
      <c r="N39" s="4"/>
      <c r="O39" s="4"/>
      <c r="P39" s="4"/>
      <c r="Q39" s="4"/>
      <c r="R39" s="4"/>
    </row>
    <row r="40" spans="5:18" ht="15">
      <c r="E40" s="1"/>
      <c r="F40" s="2"/>
      <c r="G40" s="1"/>
      <c r="H40" s="1"/>
      <c r="I40" s="1"/>
      <c r="J40" s="1"/>
      <c r="K40" s="1"/>
      <c r="L40" s="1"/>
      <c r="M40" s="1"/>
      <c r="N40" s="4"/>
      <c r="O40" s="4"/>
      <c r="P40" s="4"/>
      <c r="Q40" s="4"/>
      <c r="R40" s="4"/>
    </row>
    <row r="41" spans="5:18" ht="15" customHeight="1"/>
    <row r="42" spans="5:18" ht="15" customHeight="1"/>
    <row r="43" spans="5:18" ht="15" customHeight="1"/>
    <row r="44" spans="5:18" ht="15" customHeight="1"/>
    <row r="45" spans="5:18" ht="15" customHeight="1"/>
    <row r="46" spans="5:18" ht="15" customHeight="1"/>
    <row r="47" spans="5:18" ht="15" customHeight="1"/>
  </sheetData>
  <sheetProtection algorithmName="SHA-512" hashValue="aC/m2RGdxX99TbKtu1EnsTfijiNJpnqPhcfxGq7A+rkA0qd4CXe1F3bScILsmDtAq51rszp4QzyeVORgcMAbXA==" saltValue="UqNaTHCEuSwohrTqzoUscw==" spinCount="100000" sheet="1" selectLockedCells="1"/>
  <mergeCells count="7">
    <mergeCell ref="F30:L32"/>
    <mergeCell ref="J9:K9"/>
    <mergeCell ref="J10:K10"/>
    <mergeCell ref="J11:K11"/>
    <mergeCell ref="J13:K13"/>
    <mergeCell ref="F26:H26"/>
    <mergeCell ref="J12:K12"/>
  </mergeCells>
  <pageMargins left="0.39370078740157483" right="0.39370078740157483" top="0.39370078740157483" bottom="0.39370078740157483" header="0" footer="0"/>
  <pageSetup paperSize="9" scale="86" orientation="landscape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Clase A</vt:lpstr>
      <vt:lpstr>Clase B</vt:lpstr>
      <vt:lpstr>Clase C</vt:lpstr>
      <vt:lpstr>'Clase A'!Área_de_impresión</vt:lpstr>
      <vt:lpstr>'Clase B'!Área_de_impresión</vt:lpstr>
      <vt:lpstr>'Clase 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Matias Aizpeolea</dc:creator>
  <cp:lastModifiedBy>Matias Aizpeolea</cp:lastModifiedBy>
  <dcterms:created xsi:type="dcterms:W3CDTF">2020-07-21T12:19:40Z</dcterms:created>
  <dcterms:modified xsi:type="dcterms:W3CDTF">2024-08-09T14:12:52Z</dcterms:modified>
</cp:coreProperties>
</file>