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Provincia de Chaco\Letras Clase 6 (nueva),  36 (reapertura), 2 (reapertura)\"/>
    </mc:Choice>
  </mc:AlternateContent>
  <xr:revisionPtr revIDLastSave="0" documentId="13_ncr:1_{CEE69843-3C94-4DEF-9FB8-E3A2ACD518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se 36 (Reapertura)" sheetId="16" r:id="rId1"/>
    <sheet name="Clase 2 (Reapertura)" sheetId="15" r:id="rId2"/>
    <sheet name="Clase 6" sheetId="13" r:id="rId3"/>
  </sheets>
  <definedNames>
    <definedName name="_xlnm.Print_Area" localSheetId="1">'Clase 2 (Reapertura)'!$A$4:$P$23</definedName>
    <definedName name="_xlnm.Print_Area" localSheetId="0">'Clase 36 (Reapertura)'!$A$4:$P$23</definedName>
    <definedName name="_xlnm.Print_Area" localSheetId="2">'Clase 6'!$A$4:$P$23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3" l="1"/>
  <c r="L12" i="16"/>
  <c r="H18" i="16"/>
  <c r="L11" i="13"/>
  <c r="I18" i="13" l="1"/>
  <c r="I18" i="16"/>
  <c r="G17" i="13"/>
  <c r="L17" i="15"/>
  <c r="L11" i="15" s="1"/>
  <c r="L12" i="15" s="1"/>
  <c r="G14" i="15"/>
  <c r="O18" i="16"/>
  <c r="G14" i="16"/>
  <c r="C17" i="16" l="1"/>
  <c r="J18" i="16" l="1"/>
  <c r="J29" i="16" s="1"/>
  <c r="C18" i="16"/>
  <c r="G17" i="16"/>
  <c r="B17" i="16"/>
  <c r="B18" i="16" s="1"/>
  <c r="B17" i="15"/>
  <c r="B18" i="15" s="1"/>
  <c r="O18" i="15"/>
  <c r="K17" i="16" l="1"/>
  <c r="G18" i="16" s="1"/>
  <c r="L17" i="16"/>
  <c r="D18" i="16"/>
  <c r="F18" i="16" s="1"/>
  <c r="F17" i="16"/>
  <c r="D17" i="16" s="1"/>
  <c r="J18" i="15"/>
  <c r="J29" i="15" s="1"/>
  <c r="C18" i="15"/>
  <c r="H18" i="15"/>
  <c r="G17" i="15"/>
  <c r="F17" i="15"/>
  <c r="D17" i="15" s="1"/>
  <c r="C17" i="15"/>
  <c r="K18" i="16" l="1"/>
  <c r="I29" i="16"/>
  <c r="L18" i="16"/>
  <c r="L11" i="16" s="1"/>
  <c r="K17" i="15"/>
  <c r="G18" i="15" s="1"/>
  <c r="I18" i="15" s="1"/>
  <c r="D18" i="15"/>
  <c r="F18" i="15" s="1"/>
  <c r="L29" i="16" l="1"/>
  <c r="N18" i="16"/>
  <c r="K18" i="15"/>
  <c r="L18" i="15"/>
  <c r="N18" i="15" s="1"/>
  <c r="I29" i="15"/>
  <c r="N29" i="16" l="1"/>
  <c r="Q18" i="16" s="1"/>
  <c r="L13" i="16" s="1"/>
  <c r="L29" i="15"/>
  <c r="N29" i="15" l="1"/>
  <c r="Q18" i="15" l="1"/>
  <c r="L13" i="15" s="1"/>
  <c r="F17" i="13" l="1"/>
  <c r="J18" i="13"/>
  <c r="J29" i="13" s="1"/>
  <c r="C18" i="13"/>
  <c r="L17" i="13"/>
  <c r="C17" i="13"/>
  <c r="D17" i="13" l="1"/>
  <c r="B17" i="13" s="1"/>
  <c r="B18" i="13" s="1"/>
  <c r="H18" i="13" s="1"/>
  <c r="K17" i="13"/>
  <c r="G18" i="13" s="1"/>
  <c r="D18" i="13" l="1"/>
  <c r="F18" i="13" s="1"/>
  <c r="K18" i="13"/>
  <c r="O18" i="13" l="1"/>
  <c r="I29" i="13"/>
  <c r="L18" i="13"/>
  <c r="L9" i="13" s="1"/>
  <c r="L29" i="13" l="1"/>
  <c r="N18" i="13" l="1"/>
  <c r="N29" i="13" l="1"/>
  <c r="L12" i="13" s="1"/>
  <c r="Q18" i="13" l="1"/>
</calcChain>
</file>

<file path=xl/sharedStrings.xml><?xml version="1.0" encoding="utf-8"?>
<sst xmlns="http://schemas.openxmlformats.org/spreadsheetml/2006/main" count="76" uniqueCount="36">
  <si>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</si>
  <si>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</si>
  <si>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</si>
  <si>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</si>
  <si>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</si>
  <si>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</si>
  <si>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</si>
  <si>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</si>
  <si>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</si>
  <si>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</si>
  <si>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</si>
  <si>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VN (AR$)</t>
  </si>
  <si>
    <t>Capital (AR$)</t>
  </si>
  <si>
    <t>Intereses (AR$)</t>
  </si>
  <si>
    <t>Amortización (AR$)</t>
  </si>
  <si>
    <t>Capital Residual (AR$)</t>
  </si>
  <si>
    <t>Flujo (AR$)</t>
  </si>
  <si>
    <t>TNA</t>
  </si>
  <si>
    <t>Pesos - 91 días</t>
  </si>
  <si>
    <t>Fecha de Emisión Original</t>
  </si>
  <si>
    <t>Cupón Tasa Fija (TNA)</t>
  </si>
  <si>
    <t xml:space="preserve">VN </t>
  </si>
  <si>
    <t>Fecha de Reapertura</t>
  </si>
  <si>
    <t xml:space="preserve">Precio de Emisión | A licitar </t>
  </si>
  <si>
    <t>Letras de Tesorería de la Provincia del Chaco</t>
  </si>
  <si>
    <t>Clase 36 Reapertura</t>
  </si>
  <si>
    <t>Clase 2 Reapertura</t>
  </si>
  <si>
    <t>Pesos - 35 días</t>
  </si>
  <si>
    <t>Fecha calendario</t>
  </si>
  <si>
    <t>Fecha Calendario</t>
  </si>
  <si>
    <t>Fecha de pago</t>
  </si>
  <si>
    <t>Letras de Tesorería de la Provincia del Chaco Clase 6</t>
  </si>
  <si>
    <t xml:space="preserve">Pesos - 182 días </t>
  </si>
  <si>
    <t>Margen a licitar</t>
  </si>
  <si>
    <t>TAMAR Proyectada</t>
  </si>
  <si>
    <t>Total a Integrar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</si>
</sst>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  <numFmt numFmtId="175" formatCode="0.0000%"/>
    <numFmt numFmtId="178" formatCode="0.00000%"/>
  </numFmts>
  <fonts count="14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theme="0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</cellStyleXfs>
  <cellXfs count="74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12" fillId="5" borderId="0" xfId="0" applyNumberFormat="1" applyFont="1" applyFill="1" applyProtection="1">
      <protection hidden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166" fontId="9" fillId="4" borderId="2" xfId="0" applyNumberFormat="1" applyFont="1" applyFill="1" applyBorder="1" applyAlignment="1" applyProtection="1">
      <alignment horizontal="left"/>
      <protection hidden="1"/>
    </xf>
    <xf numFmtId="166" fontId="9" fillId="4" borderId="12" xfId="0" applyNumberFormat="1" applyFont="1" applyFill="1" applyBorder="1" applyAlignment="1" applyProtection="1">
      <alignment vertical="center"/>
      <protection hidden="1"/>
    </xf>
    <xf numFmtId="10" fontId="8" fillId="2" borderId="12" xfId="1" applyNumberFormat="1" applyFont="1" applyFill="1" applyBorder="1" applyAlignment="1" applyProtection="1">
      <alignment vertical="center"/>
      <protection hidden="1"/>
    </xf>
    <xf numFmtId="166" fontId="9" fillId="4" borderId="0" xfId="0" applyNumberFormat="1" applyFont="1" applyFill="1" applyAlignment="1" applyProtection="1">
      <alignment horizontal="left"/>
      <protection hidden="1"/>
    </xf>
    <xf numFmtId="170" fontId="12" fillId="0" borderId="0" xfId="5" applyNumberFormat="1" applyFont="1" applyAlignment="1" applyProtection="1"/>
    <xf numFmtId="167" fontId="12" fillId="0" borderId="0" xfId="0" applyNumberFormat="1" applyFont="1" applyAlignment="1" applyProtection="1">
      <alignment horizontal="center"/>
      <protection hidden="1"/>
    </xf>
    <xf numFmtId="174" fontId="4" fillId="0" borderId="0" xfId="4" applyNumberFormat="1" applyFont="1" applyAlignment="1">
      <alignment horizontal="center"/>
    </xf>
    <xf numFmtId="167" fontId="12" fillId="5" borderId="0" xfId="0" applyNumberFormat="1" applyFont="1" applyFill="1" applyAlignment="1" applyProtection="1">
      <alignment horizontal="center"/>
      <protection hidden="1"/>
    </xf>
    <xf numFmtId="175" fontId="8" fillId="3" borderId="2" xfId="1" applyNumberFormat="1" applyFont="1" applyFill="1" applyBorder="1" applyProtection="1">
      <protection locked="0" hidden="1"/>
    </xf>
    <xf numFmtId="0" fontId="9" fillId="0" borderId="0" xfId="0" applyFont="1" applyAlignment="1" applyProtection="1">
      <alignment horizontal="right" indent="1"/>
      <protection hidden="1"/>
    </xf>
    <xf numFmtId="10" fontId="8" fillId="0" borderId="0" xfId="1" applyNumberFormat="1" applyFont="1" applyFill="1" applyBorder="1" applyProtection="1"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165" fontId="8" fillId="2" borderId="12" xfId="2" applyFont="1" applyFill="1" applyBorder="1" applyAlignment="1" applyProtection="1">
      <alignment vertical="center"/>
      <protection hidden="1"/>
    </xf>
    <xf numFmtId="175" fontId="8" fillId="3" borderId="12" xfId="1" applyNumberFormat="1" applyFont="1" applyFill="1" applyBorder="1" applyAlignment="1" applyProtection="1">
      <alignment vertical="center"/>
      <protection locked="0" hidden="1"/>
    </xf>
    <xf numFmtId="178" fontId="8" fillId="3" borderId="12" xfId="1" applyNumberFormat="1" applyFont="1" applyFill="1" applyBorder="1" applyAlignment="1" applyProtection="1">
      <alignment vertical="center"/>
      <protection locked="0" hidden="1"/>
    </xf>
  </cellXfs>
  <cellStyles count="8">
    <cellStyle name="Millares" xfId="2" builtinId="3"/>
    <cellStyle name="Millares 2" xfId="5" xr:uid="{7991B591-6442-474D-A7CE-578C4E2BF367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2363A5-F369-4D2E-8CEA-E5CAFEC27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78806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03A6FE-5268-4349-9F5E-7EC72A9CC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46531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AB02E0-EDE8-4AEE-AA61-40FECEBD3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7436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7B7ADE4-6A93-49B1-90B3-BD6AD64A9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5906" y="107156"/>
          <a:ext cx="313554" cy="6237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1690686</xdr:colOff>
      <xdr:row>1</xdr:row>
      <xdr:rowOff>53810</xdr:rowOff>
    </xdr:from>
    <xdr:to>
      <xdr:col>12</xdr:col>
      <xdr:colOff>382</xdr:colOff>
      <xdr:row>3</xdr:row>
      <xdr:rowOff>119313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E09791-7DB1-4865-B213-F4D5607FF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5911" y="244310"/>
          <a:ext cx="1291021" cy="446503"/>
        </a:xfrm>
        <a:prstGeom prst="rect">
          <a:avLst/>
        </a:prstGeom>
      </xdr:spPr>
    </xdr:pic>
    <xdr:clientData/>
  </xdr:twoCellAnchor>
  <xdr:twoCellAnchor editAs="oneCell">
    <xdr:from>
      <xdr:col>5</xdr:col>
      <xdr:colOff>392906</xdr:colOff>
      <xdr:row>0</xdr:row>
      <xdr:rowOff>107156</xdr:rowOff>
    </xdr:from>
    <xdr:to>
      <xdr:col>5</xdr:col>
      <xdr:colOff>706460</xdr:colOff>
      <xdr:row>3</xdr:row>
      <xdr:rowOff>159429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2487EA-771D-4D23-A806-DB0EB4A21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" y="107156"/>
          <a:ext cx="313554" cy="623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E8DD1-BFA9-4011-AC79-F306FBF353BC}">
  <sheetPr>
    <pageSetUpPr fitToPage="1"/>
  </sheetPr>
  <dimension ref="A1:CW59"/>
  <sheetViews>
    <sheetView showGridLines="0" tabSelected="1" zoomScale="80" zoomScaleNormal="80" workbookViewId="0">
      <selection activeCell="G12" sqref="G12"/>
    </sheetView>
  </sheetViews>
  <sheetFormatPr baseColWidth="10" defaultColWidth="11.42578125" defaultRowHeight="15" customHeight="1" zeroHeight="1" outlineLevelCol="1"/>
  <cols>
    <col min="1" max="1" width="17.140625" style="20" customWidth="1"/>
    <col min="2" max="2" width="33.42578125" style="20" hidden="1" customWidth="1" outlineLevel="1"/>
    <col min="3" max="3" width="20" style="20" hidden="1" customWidth="1" outlineLevel="1"/>
    <col min="4" max="4" width="42.42578125" style="20" hidden="1" customWidth="1" outlineLevel="1"/>
    <col min="5" max="5" width="36.2851562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22.7109375" style="20" hidden="1" customWidth="1" outlineLevel="1"/>
    <col min="15" max="15" width="14.42578125" style="20" hidden="1" customWidth="1" outlineLevel="1"/>
    <col min="16" max="16" width="13.5703125" style="20" hidden="1" customWidth="1" outlineLevel="1"/>
    <col min="17" max="17" width="32.71093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0" style="20" hidden="1" customWidth="1" outlineLevel="1" collapsed="1"/>
    <col min="100" max="100" width="0" style="20" hidden="1" customWidth="1" outlineLevel="1"/>
    <col min="101" max="101" width="11.42578125" style="20" outlineLevel="1" collapsed="1"/>
    <col min="102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24</v>
      </c>
      <c r="G6" s="2" t="s">
        <v>25</v>
      </c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18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57" t="s">
        <v>19</v>
      </c>
      <c r="G9" s="24">
        <v>45639</v>
      </c>
      <c r="H9" s="16"/>
      <c r="I9" s="16"/>
      <c r="M9" s="4"/>
      <c r="N9" s="19"/>
      <c r="O9" s="19"/>
      <c r="P9" s="19"/>
      <c r="Q9" s="19"/>
      <c r="R9" s="19"/>
    </row>
    <row r="10" spans="2:18">
      <c r="E10" s="16"/>
      <c r="F10" s="57" t="s">
        <v>22</v>
      </c>
      <c r="G10" s="24">
        <v>45730</v>
      </c>
      <c r="H10" s="16"/>
      <c r="I10" s="16"/>
      <c r="M10" s="4"/>
      <c r="N10" s="19"/>
      <c r="O10" s="19"/>
      <c r="P10" s="19"/>
      <c r="Q10" s="19"/>
      <c r="R10" s="19"/>
    </row>
    <row r="11" spans="2:18">
      <c r="E11" s="16"/>
      <c r="F11" s="58" t="s">
        <v>20</v>
      </c>
      <c r="G11" s="59">
        <v>0.42</v>
      </c>
      <c r="H11" s="16"/>
      <c r="I11" s="16"/>
      <c r="J11" s="68" t="s">
        <v>0</v>
      </c>
      <c r="K11" s="68"/>
      <c r="L11" s="3">
        <f>+XIRR(L17:L18,F17:F18)</f>
        <v>0.40194732546806344</v>
      </c>
      <c r="M11" s="25"/>
      <c r="N11" s="19"/>
      <c r="O11" s="19"/>
      <c r="P11" s="19"/>
      <c r="Q11" s="19"/>
      <c r="R11" s="19"/>
    </row>
    <row r="12" spans="2:18">
      <c r="E12" s="16"/>
      <c r="F12" s="57" t="s">
        <v>21</v>
      </c>
      <c r="G12" s="23">
        <v>10000</v>
      </c>
      <c r="H12" s="16"/>
      <c r="I12" s="16"/>
      <c r="J12" s="68" t="s">
        <v>17</v>
      </c>
      <c r="K12" s="68"/>
      <c r="L12" s="3">
        <f>+(((1+L11)^(+B13/365)-1)*(365/+B13))</f>
        <v>0.35250008549124795</v>
      </c>
      <c r="M12" s="25"/>
      <c r="N12" s="19"/>
      <c r="O12" s="19"/>
      <c r="P12" s="19"/>
      <c r="Q12" s="19"/>
      <c r="R12" s="19"/>
    </row>
    <row r="13" spans="2:18">
      <c r="B13" s="20">
        <v>91</v>
      </c>
      <c r="E13" s="16"/>
      <c r="F13" s="60" t="s">
        <v>23</v>
      </c>
      <c r="G13" s="73">
        <v>1.1117224999999999</v>
      </c>
      <c r="H13" s="30"/>
      <c r="I13" s="21"/>
      <c r="J13" s="68" t="s">
        <v>2</v>
      </c>
      <c r="K13" s="68"/>
      <c r="L13" s="26">
        <f>+SUM(Q18)/(365/12)</f>
        <v>2.9917808219178079</v>
      </c>
      <c r="M13" s="28"/>
      <c r="N13" s="29"/>
      <c r="O13" s="19"/>
      <c r="P13" s="19"/>
      <c r="Q13" s="19"/>
      <c r="R13" s="19"/>
    </row>
    <row r="14" spans="2:18">
      <c r="E14" s="16"/>
      <c r="F14" s="58" t="s">
        <v>35</v>
      </c>
      <c r="G14" s="71">
        <f>+G12*G13</f>
        <v>11117.225</v>
      </c>
      <c r="H14" s="16"/>
      <c r="I14" s="16"/>
      <c r="M14" s="31"/>
      <c r="N14" s="29"/>
      <c r="O14" s="19"/>
      <c r="P14" s="19"/>
      <c r="Q14" s="19"/>
      <c r="R14" s="19"/>
    </row>
    <row r="15" spans="2:18" ht="15.75" thickBot="1">
      <c r="E15" s="16"/>
      <c r="F15"/>
      <c r="G15"/>
      <c r="H15" s="16"/>
      <c r="I15" s="16"/>
      <c r="J15" s="16"/>
      <c r="K15" s="16"/>
      <c r="L15" s="16"/>
      <c r="M15" s="31"/>
      <c r="N15" s="29"/>
      <c r="O15" s="19"/>
      <c r="P15" s="19"/>
      <c r="Q15" s="19"/>
      <c r="R15" s="19"/>
    </row>
    <row r="16" spans="2:18" s="33" customFormat="1" ht="28.5" customHeight="1" thickBot="1">
      <c r="B16" s="34" t="s">
        <v>28</v>
      </c>
      <c r="C16" s="34" t="s">
        <v>7</v>
      </c>
      <c r="D16" s="34" t="s">
        <v>3</v>
      </c>
      <c r="E16" s="35"/>
      <c r="F16" s="47" t="s">
        <v>3</v>
      </c>
      <c r="G16" s="50" t="s">
        <v>12</v>
      </c>
      <c r="H16" s="50" t="s">
        <v>4</v>
      </c>
      <c r="I16" s="50" t="s">
        <v>13</v>
      </c>
      <c r="J16" s="50" t="s">
        <v>14</v>
      </c>
      <c r="K16" s="50" t="s">
        <v>15</v>
      </c>
      <c r="L16" s="51" t="s">
        <v>16</v>
      </c>
      <c r="M16" s="36"/>
      <c r="N16" s="5" t="s">
        <v>1</v>
      </c>
      <c r="O16" s="5" t="s">
        <v>5</v>
      </c>
      <c r="P16" s="6"/>
      <c r="Q16" s="5" t="s">
        <v>9</v>
      </c>
      <c r="R16" s="37"/>
    </row>
    <row r="17" spans="2:18">
      <c r="B17" s="7">
        <f>+G10</f>
        <v>45730</v>
      </c>
      <c r="C17" s="52">
        <f>+$G$11</f>
        <v>0.42</v>
      </c>
      <c r="D17" s="7">
        <f>+F17</f>
        <v>45730</v>
      </c>
      <c r="E17" s="40"/>
      <c r="F17" s="8">
        <f>+B17</f>
        <v>45730</v>
      </c>
      <c r="G17" s="49">
        <f>+G12</f>
        <v>10000</v>
      </c>
      <c r="H17" s="45"/>
      <c r="I17" s="44"/>
      <c r="J17" s="44"/>
      <c r="K17" s="49">
        <f>+G17-J17</f>
        <v>10000</v>
      </c>
      <c r="L17" s="46">
        <f>-G17*$G$13</f>
        <v>-11117.225</v>
      </c>
      <c r="M17" s="41"/>
      <c r="N17" s="9"/>
      <c r="O17" s="9"/>
      <c r="P17" s="1"/>
      <c r="Q17" s="1"/>
      <c r="R17" s="19"/>
    </row>
    <row r="18" spans="2:18" ht="15.75" thickBot="1">
      <c r="B18" s="7">
        <f>+B17+B13</f>
        <v>45821</v>
      </c>
      <c r="C18" s="52">
        <f>+$G$11</f>
        <v>0.42</v>
      </c>
      <c r="D18" s="10">
        <f>+B18</f>
        <v>45821</v>
      </c>
      <c r="E18" s="40"/>
      <c r="F18" s="11">
        <f t="shared" ref="F18" si="0">+D18</f>
        <v>45821</v>
      </c>
      <c r="G18" s="49">
        <f>+K17</f>
        <v>10000</v>
      </c>
      <c r="H18" s="48">
        <f>+B18-G9</f>
        <v>182</v>
      </c>
      <c r="I18" s="44">
        <f>+G18*($G$11)*(H18)/365</f>
        <v>2094.2465753424658</v>
      </c>
      <c r="J18" s="44">
        <f>+G12</f>
        <v>10000</v>
      </c>
      <c r="K18" s="49">
        <f t="shared" ref="K18" si="1">+G18-J18</f>
        <v>0</v>
      </c>
      <c r="L18" s="46">
        <f>+I18+J18</f>
        <v>12094.246575342466</v>
      </c>
      <c r="M18" s="41"/>
      <c r="N18" s="61">
        <f>+L18/(1+$L$11)^((O18)/365)</f>
        <v>11117.22500900022</v>
      </c>
      <c r="O18" s="13">
        <f>+B13</f>
        <v>91</v>
      </c>
      <c r="P18" s="1"/>
      <c r="Q18" s="14">
        <f>+(N18/$N$29)*O18</f>
        <v>91</v>
      </c>
      <c r="R18" s="19"/>
    </row>
    <row r="19" spans="2:18" ht="15.75" hidden="1" thickBot="1">
      <c r="B19" s="7"/>
      <c r="C19" s="52"/>
      <c r="D19" s="10"/>
      <c r="E19" s="40"/>
      <c r="F19" s="11"/>
      <c r="G19" s="49"/>
      <c r="H19" s="48"/>
      <c r="I19" s="44"/>
      <c r="J19" s="44"/>
      <c r="K19" s="49"/>
      <c r="L19" s="46"/>
      <c r="M19" s="41"/>
      <c r="N19" s="61"/>
      <c r="O19" s="13"/>
      <c r="P19" s="1"/>
      <c r="Q19" s="14"/>
      <c r="R19" s="19"/>
    </row>
    <row r="20" spans="2:18" ht="15.75" hidden="1" thickBot="1">
      <c r="B20" s="7"/>
      <c r="C20" s="52"/>
      <c r="D20" s="10"/>
      <c r="E20" s="40"/>
      <c r="F20" s="11"/>
      <c r="G20" s="49"/>
      <c r="H20" s="48"/>
      <c r="I20" s="44"/>
      <c r="J20" s="44"/>
      <c r="K20" s="49"/>
      <c r="L20" s="46"/>
      <c r="M20" s="41"/>
      <c r="N20" s="61"/>
      <c r="O20" s="13"/>
      <c r="P20" s="1"/>
      <c r="Q20" s="14"/>
      <c r="R20" s="19"/>
    </row>
    <row r="21" spans="2:18" ht="15.75" hidden="1" thickBot="1">
      <c r="B21" s="7"/>
      <c r="C21" s="52"/>
      <c r="D21" s="10"/>
      <c r="E21" s="40"/>
      <c r="F21" s="11"/>
      <c r="G21" s="49"/>
      <c r="H21" s="48"/>
      <c r="I21" s="44"/>
      <c r="J21" s="49"/>
      <c r="K21" s="49"/>
      <c r="L21" s="46"/>
      <c r="M21" s="41"/>
      <c r="N21" s="61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49"/>
      <c r="H22" s="48"/>
      <c r="I22" s="44"/>
      <c r="J22" s="44"/>
      <c r="K22" s="49"/>
      <c r="L22" s="46"/>
      <c r="M22" s="41"/>
      <c r="N22" s="61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49"/>
      <c r="H23" s="48"/>
      <c r="I23" s="44"/>
      <c r="J23" s="44"/>
      <c r="K23" s="49"/>
      <c r="L23" s="46"/>
      <c r="M23" s="41"/>
      <c r="N23" s="61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49"/>
      <c r="H24" s="48"/>
      <c r="I24" s="44"/>
      <c r="J24" s="44"/>
      <c r="K24" s="49"/>
      <c r="L24" s="46"/>
      <c r="M24" s="41"/>
      <c r="N24" s="61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49"/>
      <c r="H25" s="48"/>
      <c r="I25" s="44"/>
      <c r="J25" s="44"/>
      <c r="K25" s="49"/>
      <c r="L25" s="46"/>
      <c r="M25" s="41"/>
      <c r="N25" s="61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49"/>
      <c r="H26" s="48"/>
      <c r="I26" s="44"/>
      <c r="J26" s="49"/>
      <c r="K26" s="49"/>
      <c r="L26" s="46"/>
      <c r="M26" s="41"/>
      <c r="N26" s="61"/>
      <c r="O26" s="13"/>
      <c r="P26" s="1"/>
      <c r="Q26" s="14"/>
      <c r="R26" s="19"/>
    </row>
    <row r="27" spans="2:18" ht="15.75" hidden="1" thickBot="1">
      <c r="B27" s="7"/>
      <c r="C27" s="38"/>
      <c r="D27" s="10"/>
      <c r="E27" s="40"/>
      <c r="F27" s="11"/>
      <c r="G27" s="49"/>
      <c r="H27" s="48"/>
      <c r="I27" s="44"/>
      <c r="J27" s="49"/>
      <c r="K27" s="49"/>
      <c r="L27" s="46"/>
      <c r="M27" s="41"/>
      <c r="N27" s="61"/>
      <c r="O27" s="13"/>
      <c r="P27" s="1"/>
      <c r="Q27" s="14"/>
      <c r="R27" s="19"/>
    </row>
    <row r="28" spans="2:18" ht="15.75" hidden="1" thickBot="1">
      <c r="B28" s="7"/>
      <c r="C28" s="38"/>
      <c r="D28" s="10"/>
      <c r="E28" s="40"/>
      <c r="F28" s="11"/>
      <c r="G28" s="49"/>
      <c r="H28" s="48"/>
      <c r="I28" s="44"/>
      <c r="J28" s="49"/>
      <c r="K28" s="49"/>
      <c r="L28" s="46"/>
      <c r="M28" s="41"/>
      <c r="N28" s="61"/>
      <c r="O28" s="13"/>
      <c r="P28" s="1"/>
      <c r="Q28" s="14"/>
      <c r="R28" s="19"/>
    </row>
    <row r="29" spans="2:18" ht="15.75" thickBot="1">
      <c r="B29" s="39"/>
      <c r="C29" s="38"/>
      <c r="D29" s="39"/>
      <c r="E29" s="16"/>
      <c r="F29" s="69" t="s">
        <v>10</v>
      </c>
      <c r="G29" s="70"/>
      <c r="H29" s="70"/>
      <c r="I29" s="53">
        <f>SUM(I18:I25)</f>
        <v>2094.2465753424658</v>
      </c>
      <c r="J29" s="54">
        <f>SUM(J18:J25)</f>
        <v>10000</v>
      </c>
      <c r="K29" s="53"/>
      <c r="L29" s="55">
        <f>SUM(L17:L25)</f>
        <v>977.02157534246544</v>
      </c>
      <c r="M29" s="42"/>
      <c r="N29" s="15">
        <f>SUM(N18:N25)</f>
        <v>11117.22500900022</v>
      </c>
      <c r="O29" s="1"/>
      <c r="P29" s="1"/>
      <c r="Q29" s="1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6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>
      <c r="E37" s="16"/>
      <c r="F37" s="17"/>
      <c r="G37" s="16"/>
      <c r="H37" s="16"/>
      <c r="I37" s="16"/>
      <c r="J37" s="16"/>
      <c r="K37" s="16"/>
      <c r="L37" s="16"/>
      <c r="M37" s="18"/>
      <c r="N37" s="19"/>
      <c r="O37" s="19"/>
      <c r="P37" s="19"/>
      <c r="Q37" s="19"/>
      <c r="R37" s="19"/>
    </row>
    <row r="38" spans="5:18">
      <c r="E38" s="16"/>
      <c r="F38" s="17"/>
      <c r="G38" s="16"/>
      <c r="H38" s="16"/>
      <c r="I38" s="16"/>
      <c r="J38" s="16"/>
      <c r="K38" s="16"/>
      <c r="L38" s="16"/>
      <c r="M38" s="18"/>
      <c r="N38" s="19"/>
      <c r="O38" s="19"/>
      <c r="P38" s="19"/>
      <c r="Q38" s="19"/>
      <c r="R38" s="19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</sheetData>
  <sheetProtection algorithmName="SHA-512" hashValue="wdklyZLK0qiAyzG4eH+stD2CYQGJZMNJaBW01ZJlbSwEgB4wqJkd3oMFXj7wewn6MAioesTTpjFMLOzzqRQU4g==" saltValue="uVyYEMs0ZGqDnKnk4Grc0A==" spinCount="100000" sheet="1" selectLockedCells="1"/>
  <mergeCells count="4">
    <mergeCell ref="J11:K11"/>
    <mergeCell ref="J12:K12"/>
    <mergeCell ref="J13:K13"/>
    <mergeCell ref="F29:H29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12F85-0409-428B-BB38-631157F27505}">
  <sheetPr>
    <pageSetUpPr fitToPage="1"/>
  </sheetPr>
  <dimension ref="A1:CW59"/>
  <sheetViews>
    <sheetView showGridLines="0" topLeftCell="A3" zoomScale="80" zoomScaleNormal="80" workbookViewId="0">
      <selection activeCell="G12" sqref="G12"/>
    </sheetView>
  </sheetViews>
  <sheetFormatPr baseColWidth="10" defaultColWidth="11.42578125" defaultRowHeight="15" customHeight="1" zeroHeight="1" outlineLevelCol="1"/>
  <cols>
    <col min="1" max="1" width="17.140625" style="20" customWidth="1"/>
    <col min="2" max="2" width="33.42578125" style="20" hidden="1" customWidth="1" outlineLevel="1"/>
    <col min="3" max="3" width="20" style="20" hidden="1" customWidth="1" outlineLevel="1"/>
    <col min="4" max="4" width="42.42578125" style="20" hidden="1" customWidth="1" outlineLevel="1"/>
    <col min="5" max="5" width="36.2851562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22.7109375" style="20" hidden="1" customWidth="1" outlineLevel="1"/>
    <col min="15" max="15" width="14.42578125" style="20" hidden="1" customWidth="1" outlineLevel="1"/>
    <col min="16" max="16" width="13.5703125" style="20" hidden="1" customWidth="1" outlineLevel="1"/>
    <col min="17" max="17" width="32.71093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7" width="0" style="20" hidden="1" customWidth="1" outlineLevel="1" collapsed="1"/>
    <col min="98" max="98" width="0" style="20" hidden="1" customWidth="1" outlineLevel="1"/>
    <col min="99" max="99" width="0" style="20" hidden="1" customWidth="1" outlineLevel="1" collapsed="1"/>
    <col min="100" max="100" width="0" style="20" hidden="1" customWidth="1" outlineLevel="1"/>
    <col min="101" max="101" width="11.42578125" style="20" outlineLevel="1" collapsed="1"/>
    <col min="102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24</v>
      </c>
      <c r="G6" s="2" t="s">
        <v>26</v>
      </c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27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57" t="s">
        <v>19</v>
      </c>
      <c r="G9" s="24">
        <v>45674</v>
      </c>
      <c r="H9" s="16"/>
      <c r="I9" s="16"/>
      <c r="M9" s="4"/>
      <c r="N9" s="19"/>
      <c r="O9" s="19"/>
      <c r="P9" s="19"/>
      <c r="Q9" s="19"/>
      <c r="R9" s="19"/>
    </row>
    <row r="10" spans="2:18">
      <c r="E10" s="16"/>
      <c r="F10" s="57" t="s">
        <v>22</v>
      </c>
      <c r="G10" s="24">
        <v>45730</v>
      </c>
      <c r="H10" s="16"/>
      <c r="I10" s="16"/>
      <c r="M10" s="4"/>
      <c r="N10" s="19"/>
      <c r="O10" s="19"/>
      <c r="P10" s="19"/>
      <c r="Q10" s="19"/>
      <c r="R10" s="19"/>
    </row>
    <row r="11" spans="2:18">
      <c r="E11" s="16"/>
      <c r="F11" s="58" t="s">
        <v>20</v>
      </c>
      <c r="G11" s="59">
        <v>0.35</v>
      </c>
      <c r="H11" s="16"/>
      <c r="I11" s="16"/>
      <c r="J11" s="68" t="s">
        <v>0</v>
      </c>
      <c r="K11" s="68"/>
      <c r="L11" s="3">
        <f>+XIRR(L17:L18,F17:F18)</f>
        <v>0.38722595572471608</v>
      </c>
      <c r="M11" s="25"/>
      <c r="N11" s="19"/>
      <c r="O11" s="19"/>
      <c r="P11" s="19"/>
      <c r="Q11" s="19"/>
      <c r="R11" s="19"/>
    </row>
    <row r="12" spans="2:18">
      <c r="E12" s="16"/>
      <c r="F12" s="57" t="s">
        <v>21</v>
      </c>
      <c r="G12" s="23">
        <v>10000</v>
      </c>
      <c r="H12" s="16"/>
      <c r="I12" s="16"/>
      <c r="J12" s="68" t="s">
        <v>17</v>
      </c>
      <c r="K12" s="68"/>
      <c r="L12" s="3">
        <f>+(((1+L11)^(+B13/365)-1)*(365/+B13))</f>
        <v>0.3324965310530571</v>
      </c>
      <c r="M12" s="25"/>
      <c r="N12" s="19"/>
      <c r="O12" s="19"/>
      <c r="P12" s="19"/>
      <c r="Q12" s="19"/>
      <c r="R12" s="19"/>
    </row>
    <row r="13" spans="2:18">
      <c r="B13" s="20">
        <v>35</v>
      </c>
      <c r="E13" s="16"/>
      <c r="F13" s="60" t="s">
        <v>23</v>
      </c>
      <c r="G13" s="72">
        <v>1.053666</v>
      </c>
      <c r="H13" s="30"/>
      <c r="I13" s="21"/>
      <c r="J13" s="68" t="s">
        <v>2</v>
      </c>
      <c r="K13" s="68"/>
      <c r="L13" s="26">
        <f>+SUM(Q18)/(365/12)</f>
        <v>1.1506849315068493</v>
      </c>
      <c r="M13" s="28"/>
      <c r="N13" s="29"/>
      <c r="O13" s="19"/>
      <c r="P13" s="19"/>
      <c r="Q13" s="19"/>
      <c r="R13" s="19"/>
    </row>
    <row r="14" spans="2:18">
      <c r="E14" s="16"/>
      <c r="F14" s="58" t="s">
        <v>35</v>
      </c>
      <c r="G14" s="71">
        <f>+G12*G13</f>
        <v>10536.66</v>
      </c>
      <c r="H14" s="16"/>
      <c r="I14" s="16"/>
      <c r="J14" s="16"/>
      <c r="K14" s="16"/>
      <c r="L14" s="16"/>
      <c r="M14" s="31"/>
      <c r="N14" s="29"/>
      <c r="O14" s="19"/>
      <c r="P14" s="19"/>
      <c r="Q14" s="19"/>
      <c r="R14" s="19"/>
    </row>
    <row r="15" spans="2:18" ht="15.75" thickBot="1">
      <c r="E15" s="16"/>
      <c r="H15" s="16"/>
      <c r="I15" s="16"/>
      <c r="J15" s="16"/>
      <c r="K15" s="16"/>
      <c r="L15" s="16"/>
      <c r="M15" s="31"/>
      <c r="N15" s="29"/>
      <c r="O15" s="19"/>
      <c r="P15" s="19"/>
      <c r="Q15" s="19"/>
      <c r="R15" s="19"/>
    </row>
    <row r="16" spans="2:18" s="33" customFormat="1" ht="28.5" customHeight="1" thickBot="1">
      <c r="B16" s="34" t="s">
        <v>28</v>
      </c>
      <c r="C16" s="34" t="s">
        <v>7</v>
      </c>
      <c r="D16" s="34" t="s">
        <v>3</v>
      </c>
      <c r="E16" s="35"/>
      <c r="F16" s="47" t="s">
        <v>3</v>
      </c>
      <c r="G16" s="50" t="s">
        <v>12</v>
      </c>
      <c r="H16" s="50" t="s">
        <v>4</v>
      </c>
      <c r="I16" s="50" t="s">
        <v>13</v>
      </c>
      <c r="J16" s="50" t="s">
        <v>14</v>
      </c>
      <c r="K16" s="50" t="s">
        <v>15</v>
      </c>
      <c r="L16" s="51" t="s">
        <v>16</v>
      </c>
      <c r="M16" s="36"/>
      <c r="N16" s="5" t="s">
        <v>1</v>
      </c>
      <c r="O16" s="5" t="s">
        <v>5</v>
      </c>
      <c r="P16" s="6"/>
      <c r="Q16" s="5" t="s">
        <v>9</v>
      </c>
      <c r="R16" s="37"/>
    </row>
    <row r="17" spans="2:18">
      <c r="B17" s="62">
        <f>+G10</f>
        <v>45730</v>
      </c>
      <c r="C17" s="63">
        <f>+$G$11</f>
        <v>0.35</v>
      </c>
      <c r="D17" s="62">
        <f>+F17</f>
        <v>45730</v>
      </c>
      <c r="E17" s="40"/>
      <c r="F17" s="8">
        <f>+B17</f>
        <v>45730</v>
      </c>
      <c r="G17" s="49">
        <f>+G12</f>
        <v>10000</v>
      </c>
      <c r="H17" s="45"/>
      <c r="I17" s="44"/>
      <c r="J17" s="44"/>
      <c r="K17" s="49">
        <f>+G17-J17</f>
        <v>10000</v>
      </c>
      <c r="L17" s="46">
        <f>-G17*$G$13</f>
        <v>-10536.66</v>
      </c>
      <c r="M17" s="41"/>
      <c r="N17" s="9"/>
      <c r="O17" s="9"/>
      <c r="P17" s="1"/>
      <c r="Q17" s="1"/>
      <c r="R17" s="19"/>
    </row>
    <row r="18" spans="2:18" ht="15.75" thickBot="1">
      <c r="B18" s="62">
        <f>+B17+B13</f>
        <v>45765</v>
      </c>
      <c r="C18" s="63">
        <f>+$G$11</f>
        <v>0.35</v>
      </c>
      <c r="D18" s="64">
        <f>+B18</f>
        <v>45765</v>
      </c>
      <c r="E18" s="40"/>
      <c r="F18" s="11">
        <f t="shared" ref="F18" si="0">+D18</f>
        <v>45765</v>
      </c>
      <c r="G18" s="49">
        <f>+K17</f>
        <v>10000</v>
      </c>
      <c r="H18" s="48">
        <f>+B18-G9</f>
        <v>91</v>
      </c>
      <c r="I18" s="44">
        <f>+G18*($G$11)*(H18)/365</f>
        <v>872.60273972602738</v>
      </c>
      <c r="J18" s="44">
        <f>+G12</f>
        <v>10000</v>
      </c>
      <c r="K18" s="49">
        <f t="shared" ref="K18" si="1">+G18-J18</f>
        <v>0</v>
      </c>
      <c r="L18" s="46">
        <f>+I18+J18</f>
        <v>10872.602739726028</v>
      </c>
      <c r="M18" s="41"/>
      <c r="N18" s="61">
        <f>+L18/(1+$L$11)^((O18)/365)</f>
        <v>10536.659996120958</v>
      </c>
      <c r="O18" s="13">
        <f>+B13</f>
        <v>35</v>
      </c>
      <c r="P18" s="1"/>
      <c r="Q18" s="14">
        <f>+(N18/$N$29)*O18</f>
        <v>35</v>
      </c>
      <c r="R18" s="19"/>
    </row>
    <row r="19" spans="2:18" ht="15.75" hidden="1" thickBot="1">
      <c r="B19" s="7"/>
      <c r="C19" s="52"/>
      <c r="D19" s="10"/>
      <c r="E19" s="40"/>
      <c r="F19" s="11"/>
      <c r="G19" s="49"/>
      <c r="H19" s="48"/>
      <c r="I19" s="44"/>
      <c r="J19" s="44"/>
      <c r="K19" s="49"/>
      <c r="L19" s="46"/>
      <c r="M19" s="41"/>
      <c r="N19" s="61"/>
      <c r="O19" s="13"/>
      <c r="P19" s="1"/>
      <c r="Q19" s="14"/>
      <c r="R19" s="19"/>
    </row>
    <row r="20" spans="2:18" ht="15.75" hidden="1" thickBot="1">
      <c r="B20" s="7"/>
      <c r="C20" s="52"/>
      <c r="D20" s="10"/>
      <c r="E20" s="40"/>
      <c r="F20" s="11"/>
      <c r="G20" s="49"/>
      <c r="H20" s="48"/>
      <c r="I20" s="44"/>
      <c r="J20" s="44"/>
      <c r="K20" s="49"/>
      <c r="L20" s="46"/>
      <c r="M20" s="41"/>
      <c r="N20" s="61"/>
      <c r="O20" s="13"/>
      <c r="P20" s="1"/>
      <c r="Q20" s="14"/>
      <c r="R20" s="19"/>
    </row>
    <row r="21" spans="2:18" ht="15.75" hidden="1" thickBot="1">
      <c r="B21" s="7"/>
      <c r="C21" s="52"/>
      <c r="D21" s="10"/>
      <c r="E21" s="40"/>
      <c r="F21" s="11"/>
      <c r="G21" s="49"/>
      <c r="H21" s="48"/>
      <c r="I21" s="44"/>
      <c r="J21" s="49"/>
      <c r="K21" s="49"/>
      <c r="L21" s="46"/>
      <c r="M21" s="41"/>
      <c r="N21" s="61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49"/>
      <c r="H22" s="48"/>
      <c r="I22" s="44"/>
      <c r="J22" s="44"/>
      <c r="K22" s="49"/>
      <c r="L22" s="46"/>
      <c r="M22" s="41"/>
      <c r="N22" s="61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49"/>
      <c r="H23" s="48"/>
      <c r="I23" s="44"/>
      <c r="J23" s="44"/>
      <c r="K23" s="49"/>
      <c r="L23" s="46"/>
      <c r="M23" s="41"/>
      <c r="N23" s="61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49"/>
      <c r="H24" s="48"/>
      <c r="I24" s="44"/>
      <c r="J24" s="44"/>
      <c r="K24" s="49"/>
      <c r="L24" s="46"/>
      <c r="M24" s="41"/>
      <c r="N24" s="61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49"/>
      <c r="H25" s="48"/>
      <c r="I25" s="44"/>
      <c r="J25" s="44"/>
      <c r="K25" s="49"/>
      <c r="L25" s="46"/>
      <c r="M25" s="41"/>
      <c r="N25" s="61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49"/>
      <c r="H26" s="48"/>
      <c r="I26" s="44"/>
      <c r="J26" s="49"/>
      <c r="K26" s="49"/>
      <c r="L26" s="46"/>
      <c r="M26" s="41"/>
      <c r="N26" s="61"/>
      <c r="O26" s="13"/>
      <c r="P26" s="1"/>
      <c r="Q26" s="14"/>
      <c r="R26" s="19"/>
    </row>
    <row r="27" spans="2:18" ht="15.75" hidden="1" thickBot="1">
      <c r="B27" s="7"/>
      <c r="C27" s="38"/>
      <c r="D27" s="10"/>
      <c r="E27" s="40"/>
      <c r="F27" s="11"/>
      <c r="G27" s="49"/>
      <c r="H27" s="48"/>
      <c r="I27" s="44"/>
      <c r="J27" s="49"/>
      <c r="K27" s="49"/>
      <c r="L27" s="46"/>
      <c r="M27" s="41"/>
      <c r="N27" s="61"/>
      <c r="O27" s="13"/>
      <c r="P27" s="1"/>
      <c r="Q27" s="14"/>
      <c r="R27" s="19"/>
    </row>
    <row r="28" spans="2:18" ht="15.75" hidden="1" thickBot="1">
      <c r="B28" s="7"/>
      <c r="C28" s="38"/>
      <c r="D28" s="10"/>
      <c r="E28" s="40"/>
      <c r="F28" s="11"/>
      <c r="G28" s="49"/>
      <c r="H28" s="48"/>
      <c r="I28" s="44"/>
      <c r="J28" s="49"/>
      <c r="K28" s="49"/>
      <c r="L28" s="46"/>
      <c r="M28" s="41"/>
      <c r="N28" s="61"/>
      <c r="O28" s="13"/>
      <c r="P28" s="1"/>
      <c r="Q28" s="14"/>
      <c r="R28" s="19"/>
    </row>
    <row r="29" spans="2:18" ht="15.75" thickBot="1">
      <c r="B29" s="39"/>
      <c r="C29" s="38"/>
      <c r="D29" s="39"/>
      <c r="E29" s="16"/>
      <c r="F29" s="69" t="s">
        <v>10</v>
      </c>
      <c r="G29" s="70"/>
      <c r="H29" s="70"/>
      <c r="I29" s="53">
        <f>SUM(I18:I25)</f>
        <v>872.60273972602738</v>
      </c>
      <c r="J29" s="54">
        <f>SUM(J18:J25)</f>
        <v>10000</v>
      </c>
      <c r="K29" s="53"/>
      <c r="L29" s="55">
        <f>SUM(L17:L25)</f>
        <v>335.94273972602787</v>
      </c>
      <c r="M29" s="42"/>
      <c r="N29" s="15">
        <f>SUM(N18:N25)</f>
        <v>10536.659996120958</v>
      </c>
      <c r="O29" s="1"/>
      <c r="P29" s="1"/>
      <c r="Q29" s="1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6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>
      <c r="E37" s="16"/>
      <c r="H37" s="16"/>
      <c r="I37" s="16"/>
      <c r="J37" s="16"/>
      <c r="K37" s="16"/>
      <c r="L37" s="16"/>
      <c r="M37" s="18"/>
      <c r="N37" s="19"/>
      <c r="O37" s="19"/>
      <c r="P37" s="19"/>
      <c r="Q37" s="19"/>
      <c r="R37" s="19"/>
    </row>
    <row r="38" spans="5:18">
      <c r="E38" s="16"/>
      <c r="H38" s="16"/>
      <c r="I38" s="16"/>
      <c r="J38" s="16"/>
      <c r="K38" s="16"/>
      <c r="L38" s="16"/>
      <c r="M38" s="18"/>
      <c r="N38" s="19"/>
      <c r="O38" s="19"/>
      <c r="P38" s="19"/>
      <c r="Q38" s="19"/>
      <c r="R38" s="19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</sheetData>
  <sheetProtection algorithmName="SHA-512" hashValue="SlfVdbhL2O29BgMhUwDtVG7lECHg2P7Bx/pQ1+qXXvc5U8dPlrvIRtB45M9EMeq3wNm2tVAgs5m9725HQq8zRg==" saltValue="aHuP9llBtsrPgszAyMy69Q==" spinCount="100000" sheet="1" selectLockedCells="1"/>
  <mergeCells count="4">
    <mergeCell ref="J11:K11"/>
    <mergeCell ref="J12:K12"/>
    <mergeCell ref="F29:H29"/>
    <mergeCell ref="J13:K13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82D86-63CB-49CD-9697-B1C1AA06D62A}">
  <sheetPr>
    <pageSetUpPr fitToPage="1"/>
  </sheetPr>
  <dimension ref="A1:CW59"/>
  <sheetViews>
    <sheetView showGridLines="0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9.85546875" style="20" hidden="1" customWidth="1" outlineLevel="1"/>
    <col min="3" max="3" width="47.5703125" style="20" hidden="1" customWidth="1" outlineLevel="1"/>
    <col min="4" max="4" width="43" style="20" hidden="1" customWidth="1" outlineLevel="1"/>
    <col min="5" max="5" width="11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2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customWidth="1" outlineLevel="1"/>
    <col min="92" max="92" width="11.42578125" style="20" customWidth="1" outlineLevel="1" collapsed="1"/>
    <col min="93" max="93" width="11.42578125" style="20" customWidth="1" outlineLevel="1"/>
    <col min="94" max="94" width="11.42578125" style="20" customWidth="1" outlineLevel="1" collapsed="1"/>
    <col min="95" max="95" width="11.42578125" style="20" customWidth="1" outlineLevel="1"/>
    <col min="96" max="97" width="11.42578125" style="20" customWidth="1" outlineLevel="1" collapsed="1"/>
    <col min="98" max="98" width="11.42578125" style="20" customWidth="1" outlineLevel="1"/>
    <col min="99" max="99" width="11.42578125" style="20" customWidth="1" outlineLevel="1" collapsed="1"/>
    <col min="100" max="100" width="11.42578125" style="20" customWidth="1" outlineLevel="1"/>
    <col min="101" max="101" width="11.42578125" style="20" outlineLevel="1" collapsed="1"/>
    <col min="102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31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32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11</v>
      </c>
      <c r="G9" s="23">
        <v>10000</v>
      </c>
      <c r="H9" s="16"/>
      <c r="I9" s="16"/>
      <c r="J9" s="68" t="s">
        <v>0</v>
      </c>
      <c r="K9" s="68"/>
      <c r="L9" s="3">
        <f>+XIRR(L17:L18,F17:F18)</f>
        <v>0.38513019680976868</v>
      </c>
      <c r="M9" s="4"/>
      <c r="N9" s="19"/>
      <c r="O9" s="19"/>
      <c r="P9" s="19"/>
      <c r="Q9" s="19"/>
      <c r="R9" s="19"/>
    </row>
    <row r="10" spans="2:18">
      <c r="E10" s="16"/>
      <c r="F10" s="22" t="s">
        <v>6</v>
      </c>
      <c r="G10" s="24">
        <v>45730</v>
      </c>
      <c r="H10" s="16"/>
      <c r="I10" s="16"/>
      <c r="J10" s="68" t="s">
        <v>17</v>
      </c>
      <c r="K10" s="68"/>
      <c r="L10" s="3">
        <f>+(((1+L9)^(+B12/365)-1)*(365/+B12))</f>
        <v>0.35375000055636613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33</v>
      </c>
      <c r="G11" s="56">
        <v>5.5E-2</v>
      </c>
      <c r="H11" s="16"/>
      <c r="I11" s="16"/>
      <c r="J11" s="68" t="s">
        <v>2</v>
      </c>
      <c r="K11" s="68"/>
      <c r="L11" s="26">
        <f>+SUM(Q18)/(365/12)</f>
        <v>5.9835616438356158</v>
      </c>
      <c r="M11" s="25"/>
      <c r="N11" s="19"/>
      <c r="O11" s="19"/>
      <c r="P11" s="19"/>
      <c r="Q11" s="19"/>
      <c r="R11" s="19"/>
    </row>
    <row r="12" spans="2:18">
      <c r="B12" s="20">
        <v>182</v>
      </c>
      <c r="E12" s="16"/>
      <c r="F12" s="22" t="s">
        <v>34</v>
      </c>
      <c r="G12" s="65">
        <v>0.29875000000000002</v>
      </c>
      <c r="H12" s="30"/>
      <c r="I12" s="21"/>
      <c r="J12" s="68" t="s">
        <v>8</v>
      </c>
      <c r="K12" s="68"/>
      <c r="L12" s="3">
        <f>+N29/G17</f>
        <v>0.99999999976417597</v>
      </c>
      <c r="M12" s="28"/>
      <c r="N12" s="29"/>
      <c r="O12" s="19"/>
      <c r="P12" s="19"/>
      <c r="Q12" s="19"/>
      <c r="R12" s="19"/>
    </row>
    <row r="13" spans="2:18">
      <c r="E13" s="16"/>
      <c r="F13" s="17"/>
      <c r="G13" s="16"/>
      <c r="H13" s="30"/>
      <c r="I13" s="21"/>
      <c r="J13" s="66"/>
      <c r="K13" s="66"/>
      <c r="L13" s="67"/>
      <c r="M13" s="28"/>
      <c r="N13" s="29"/>
      <c r="O13" s="19"/>
      <c r="P13" s="19"/>
      <c r="Q13" s="19"/>
      <c r="R13" s="19"/>
    </row>
    <row r="14" spans="2:18">
      <c r="E14" s="16"/>
      <c r="F14" s="17"/>
      <c r="G14" s="16"/>
      <c r="H14" s="30"/>
      <c r="I14" s="21"/>
      <c r="J14" s="66"/>
      <c r="K14" s="66"/>
      <c r="L14" s="67"/>
      <c r="M14" s="28"/>
      <c r="N14" s="29"/>
      <c r="O14" s="19"/>
      <c r="P14" s="19"/>
      <c r="Q14" s="19"/>
      <c r="R14" s="19"/>
    </row>
    <row r="15" spans="2:18" ht="15.75" thickBot="1">
      <c r="E15" s="16"/>
      <c r="F15" s="17"/>
      <c r="G15" s="16"/>
      <c r="H15" s="16"/>
      <c r="I15" s="16"/>
      <c r="J15" s="16"/>
      <c r="K15" s="16"/>
      <c r="L15" s="16"/>
      <c r="M15" s="31"/>
      <c r="N15" s="29"/>
      <c r="O15" s="19"/>
      <c r="P15" s="19"/>
      <c r="Q15" s="19"/>
      <c r="R15" s="19"/>
    </row>
    <row r="16" spans="2:18" s="33" customFormat="1" ht="28.5" customHeight="1" thickBot="1">
      <c r="B16" s="34" t="s">
        <v>29</v>
      </c>
      <c r="C16" s="34" t="s">
        <v>7</v>
      </c>
      <c r="D16" s="34" t="s">
        <v>30</v>
      </c>
      <c r="E16" s="35"/>
      <c r="F16" s="47" t="s">
        <v>3</v>
      </c>
      <c r="G16" s="50" t="s">
        <v>12</v>
      </c>
      <c r="H16" s="50" t="s">
        <v>4</v>
      </c>
      <c r="I16" s="50" t="s">
        <v>13</v>
      </c>
      <c r="J16" s="50" t="s">
        <v>14</v>
      </c>
      <c r="K16" s="50" t="s">
        <v>15</v>
      </c>
      <c r="L16" s="51" t="s">
        <v>16</v>
      </c>
      <c r="M16" s="36"/>
      <c r="N16" s="5" t="s">
        <v>1</v>
      </c>
      <c r="O16" s="5" t="s">
        <v>5</v>
      </c>
      <c r="P16" s="6"/>
      <c r="Q16" s="5" t="s">
        <v>9</v>
      </c>
      <c r="R16" s="37"/>
    </row>
    <row r="17" spans="2:18">
      <c r="B17" s="7">
        <f>+D17</f>
        <v>45730</v>
      </c>
      <c r="C17" s="52">
        <f>+$G$11+$G$12</f>
        <v>0.35375000000000001</v>
      </c>
      <c r="D17" s="7">
        <f>+G10</f>
        <v>45730</v>
      </c>
      <c r="E17" s="40"/>
      <c r="F17" s="8">
        <f>+G10</f>
        <v>45730</v>
      </c>
      <c r="G17" s="49">
        <f>+G9</f>
        <v>10000</v>
      </c>
      <c r="H17" s="45"/>
      <c r="I17" s="44"/>
      <c r="J17" s="44"/>
      <c r="K17" s="49">
        <f t="shared" ref="K17:K18" si="0">+G17-J17</f>
        <v>10000</v>
      </c>
      <c r="L17" s="46">
        <f>-G17</f>
        <v>-10000</v>
      </c>
      <c r="M17" s="41"/>
      <c r="N17" s="9"/>
      <c r="O17" s="9"/>
      <c r="P17" s="1"/>
      <c r="Q17" s="1"/>
      <c r="R17" s="19"/>
    </row>
    <row r="18" spans="2:18" ht="15.75" thickBot="1">
      <c r="B18" s="7">
        <f>+B17+B12</f>
        <v>45912</v>
      </c>
      <c r="C18" s="52">
        <f t="shared" ref="C18" si="1">+$G$11+$G$12</f>
        <v>0.35375000000000001</v>
      </c>
      <c r="D18" s="10">
        <f>+B18</f>
        <v>45912</v>
      </c>
      <c r="E18" s="40"/>
      <c r="F18" s="11">
        <f t="shared" ref="F18" si="2">+D18</f>
        <v>45912</v>
      </c>
      <c r="G18" s="49">
        <f>+K17</f>
        <v>10000</v>
      </c>
      <c r="H18" s="48">
        <f>+B18-B17</f>
        <v>182</v>
      </c>
      <c r="I18" s="44">
        <f>+G18*($G$11+$G$12)*(H18)/365</f>
        <v>1763.9041095890411</v>
      </c>
      <c r="J18" s="44">
        <f>+G9</f>
        <v>10000</v>
      </c>
      <c r="K18" s="49">
        <f t="shared" si="0"/>
        <v>0</v>
      </c>
      <c r="L18" s="46">
        <f>+I18+J18</f>
        <v>11763.904109589041</v>
      </c>
      <c r="M18" s="41"/>
      <c r="N18" s="12">
        <f>+L18/(1+$L$9)^((O18)/365)</f>
        <v>9999.9999976417603</v>
      </c>
      <c r="O18" s="13">
        <f>+F18-$F$17</f>
        <v>182</v>
      </c>
      <c r="P18" s="1"/>
      <c r="Q18" s="14">
        <f>+(N18/$N$29)*O18</f>
        <v>182</v>
      </c>
      <c r="R18" s="19"/>
    </row>
    <row r="19" spans="2:18" ht="15.75" hidden="1" thickBot="1">
      <c r="B19" s="7"/>
      <c r="C19" s="52"/>
      <c r="D19" s="10"/>
      <c r="E19" s="40"/>
      <c r="F19" s="11"/>
      <c r="G19" s="49"/>
      <c r="H19" s="48"/>
      <c r="I19" s="44"/>
      <c r="J19" s="44"/>
      <c r="K19" s="49"/>
      <c r="L19" s="46"/>
      <c r="M19" s="41"/>
      <c r="N19" s="12"/>
      <c r="O19" s="13"/>
      <c r="P19" s="1"/>
      <c r="Q19" s="14"/>
      <c r="R19" s="19"/>
    </row>
    <row r="20" spans="2:18" ht="15.75" hidden="1" thickBot="1">
      <c r="B20" s="7"/>
      <c r="C20" s="52"/>
      <c r="D20" s="10"/>
      <c r="E20" s="40"/>
      <c r="F20" s="11"/>
      <c r="G20" s="49"/>
      <c r="H20" s="48"/>
      <c r="I20" s="44"/>
      <c r="J20" s="44"/>
      <c r="K20" s="49"/>
      <c r="L20" s="46"/>
      <c r="M20" s="41"/>
      <c r="N20" s="12"/>
      <c r="O20" s="13"/>
      <c r="P20" s="1"/>
      <c r="Q20" s="14"/>
      <c r="R20" s="19"/>
    </row>
    <row r="21" spans="2:18" ht="15.75" hidden="1" thickBot="1">
      <c r="B21" s="7"/>
      <c r="C21" s="52"/>
      <c r="D21" s="10"/>
      <c r="E21" s="40"/>
      <c r="F21" s="11"/>
      <c r="G21" s="49"/>
      <c r="H21" s="48"/>
      <c r="I21" s="44"/>
      <c r="J21" s="49"/>
      <c r="K21" s="49"/>
      <c r="L21" s="46"/>
      <c r="M21" s="41"/>
      <c r="N21" s="12"/>
      <c r="O21" s="13"/>
      <c r="P21" s="1"/>
      <c r="Q21" s="14"/>
      <c r="R21" s="19"/>
    </row>
    <row r="22" spans="2:18" ht="15.75" hidden="1" thickBot="1">
      <c r="B22" s="7"/>
      <c r="C22" s="38"/>
      <c r="D22" s="10"/>
      <c r="E22" s="40"/>
      <c r="F22" s="11"/>
      <c r="G22" s="49"/>
      <c r="H22" s="48"/>
      <c r="I22" s="44"/>
      <c r="J22" s="44"/>
      <c r="K22" s="49"/>
      <c r="L22" s="46"/>
      <c r="M22" s="41"/>
      <c r="N22" s="12"/>
      <c r="O22" s="13"/>
      <c r="P22" s="1"/>
      <c r="Q22" s="14"/>
      <c r="R22" s="19"/>
    </row>
    <row r="23" spans="2:18" ht="15.75" hidden="1" thickBot="1">
      <c r="B23" s="7"/>
      <c r="C23" s="38"/>
      <c r="D23" s="10"/>
      <c r="E23" s="40"/>
      <c r="F23" s="11"/>
      <c r="G23" s="49"/>
      <c r="H23" s="48"/>
      <c r="I23" s="44"/>
      <c r="J23" s="44"/>
      <c r="K23" s="49"/>
      <c r="L23" s="46"/>
      <c r="M23" s="41"/>
      <c r="N23" s="12"/>
      <c r="O23" s="13"/>
      <c r="P23" s="1"/>
      <c r="Q23" s="14"/>
      <c r="R23" s="19"/>
    </row>
    <row r="24" spans="2:18" ht="15.75" hidden="1" thickBot="1">
      <c r="B24" s="7"/>
      <c r="C24" s="38"/>
      <c r="D24" s="10"/>
      <c r="E24" s="40"/>
      <c r="F24" s="11"/>
      <c r="G24" s="49"/>
      <c r="H24" s="48"/>
      <c r="I24" s="44"/>
      <c r="J24" s="44"/>
      <c r="K24" s="49"/>
      <c r="L24" s="46"/>
      <c r="M24" s="41"/>
      <c r="N24" s="12"/>
      <c r="O24" s="13"/>
      <c r="P24" s="1"/>
      <c r="Q24" s="14"/>
      <c r="R24" s="19"/>
    </row>
    <row r="25" spans="2:18" ht="15.75" hidden="1" thickBot="1">
      <c r="B25" s="7"/>
      <c r="C25" s="38"/>
      <c r="D25" s="10"/>
      <c r="E25" s="40"/>
      <c r="F25" s="11"/>
      <c r="G25" s="49"/>
      <c r="H25" s="48"/>
      <c r="I25" s="44"/>
      <c r="J25" s="44"/>
      <c r="K25" s="49"/>
      <c r="L25" s="46"/>
      <c r="M25" s="41"/>
      <c r="N25" s="12"/>
      <c r="O25" s="13"/>
      <c r="P25" s="1"/>
      <c r="Q25" s="14"/>
      <c r="R25" s="19"/>
    </row>
    <row r="26" spans="2:18" ht="15.75" hidden="1" thickBot="1">
      <c r="B26" s="7"/>
      <c r="C26" s="38"/>
      <c r="D26" s="10"/>
      <c r="E26" s="40"/>
      <c r="F26" s="11"/>
      <c r="G26" s="49"/>
      <c r="H26" s="48"/>
      <c r="I26" s="44"/>
      <c r="J26" s="49"/>
      <c r="K26" s="49"/>
      <c r="L26" s="46"/>
      <c r="M26" s="41"/>
      <c r="N26" s="12"/>
      <c r="O26" s="13"/>
      <c r="P26" s="1"/>
      <c r="Q26" s="14"/>
      <c r="R26" s="19"/>
    </row>
    <row r="27" spans="2:18" ht="15.75" hidden="1" thickBot="1">
      <c r="B27" s="7"/>
      <c r="C27" s="38"/>
      <c r="D27" s="10"/>
      <c r="E27" s="40"/>
      <c r="F27" s="11"/>
      <c r="G27" s="49"/>
      <c r="H27" s="48"/>
      <c r="I27" s="44"/>
      <c r="J27" s="49"/>
      <c r="K27" s="49"/>
      <c r="L27" s="46"/>
      <c r="M27" s="41"/>
      <c r="N27" s="12"/>
      <c r="O27" s="13"/>
      <c r="P27" s="1"/>
      <c r="Q27" s="14"/>
      <c r="R27" s="19"/>
    </row>
    <row r="28" spans="2:18" ht="15.75" hidden="1" thickBot="1">
      <c r="B28" s="7"/>
      <c r="C28" s="38"/>
      <c r="D28" s="10"/>
      <c r="E28" s="40"/>
      <c r="F28" s="11"/>
      <c r="G28" s="49"/>
      <c r="H28" s="48"/>
      <c r="I28" s="44"/>
      <c r="J28" s="49"/>
      <c r="K28" s="49"/>
      <c r="L28" s="46"/>
      <c r="M28" s="41"/>
      <c r="N28" s="12"/>
      <c r="O28" s="13"/>
      <c r="P28" s="1"/>
      <c r="Q28" s="14"/>
      <c r="R28" s="19"/>
    </row>
    <row r="29" spans="2:18" ht="15.75" thickBot="1">
      <c r="B29" s="39"/>
      <c r="C29" s="38"/>
      <c r="D29" s="39"/>
      <c r="E29" s="16"/>
      <c r="F29" s="69" t="s">
        <v>10</v>
      </c>
      <c r="G29" s="70"/>
      <c r="H29" s="70"/>
      <c r="I29" s="53">
        <f>SUM(I18:I25)</f>
        <v>1763.9041095890411</v>
      </c>
      <c r="J29" s="54">
        <f>SUM(J18:J25)</f>
        <v>10000</v>
      </c>
      <c r="K29" s="53"/>
      <c r="L29" s="55">
        <f>SUM(L17:L25)</f>
        <v>1763.9041095890407</v>
      </c>
      <c r="M29" s="42"/>
      <c r="N29" s="15">
        <f>SUM(N18:N25)</f>
        <v>9999.9999976417603</v>
      </c>
      <c r="O29" s="1"/>
      <c r="P29" s="1"/>
      <c r="Q29" s="1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6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>
      <c r="E34" s="16"/>
      <c r="F34" s="17"/>
      <c r="G34" s="16"/>
      <c r="H34" s="16"/>
      <c r="I34" s="16"/>
      <c r="J34" s="16"/>
      <c r="K34" s="16"/>
      <c r="L34" s="16"/>
      <c r="M34" s="18"/>
      <c r="N34" s="19"/>
      <c r="O34" s="19"/>
      <c r="P34" s="19"/>
      <c r="Q34" s="19"/>
      <c r="R34" s="19"/>
    </row>
    <row r="35" spans="5:18">
      <c r="E35" s="16"/>
      <c r="F35" s="17"/>
      <c r="G35" s="16"/>
      <c r="H35" s="16"/>
      <c r="I35" s="16"/>
      <c r="J35" s="16"/>
      <c r="K35" s="16"/>
      <c r="L35" s="16"/>
      <c r="M35" s="18"/>
      <c r="N35" s="19"/>
      <c r="O35" s="19"/>
      <c r="P35" s="19"/>
      <c r="Q35" s="19"/>
      <c r="R35" s="19"/>
    </row>
    <row r="36" spans="5:18">
      <c r="E36" s="16"/>
      <c r="F36" s="17"/>
      <c r="G36" s="16"/>
      <c r="H36" s="16"/>
      <c r="I36" s="16"/>
      <c r="J36" s="16"/>
      <c r="K36" s="16"/>
      <c r="L36" s="16"/>
      <c r="M36" s="18"/>
      <c r="N36" s="19"/>
      <c r="O36" s="19"/>
      <c r="P36" s="19"/>
      <c r="Q36" s="19"/>
      <c r="R36" s="19"/>
    </row>
    <row r="37" spans="5:18">
      <c r="E37" s="16"/>
      <c r="F37" s="17"/>
      <c r="G37" s="16"/>
      <c r="H37" s="16"/>
      <c r="I37" s="16"/>
      <c r="J37" s="16"/>
      <c r="K37" s="16"/>
      <c r="L37" s="16"/>
      <c r="M37" s="18"/>
      <c r="N37" s="19"/>
      <c r="O37" s="19"/>
      <c r="P37" s="19"/>
      <c r="Q37" s="19"/>
      <c r="R37" s="19"/>
    </row>
    <row r="38" spans="5:18">
      <c r="E38" s="16"/>
      <c r="F38" s="17"/>
      <c r="G38" s="16"/>
      <c r="H38" s="16"/>
      <c r="I38" s="16"/>
      <c r="J38" s="16"/>
      <c r="K38" s="16"/>
      <c r="L38" s="16"/>
      <c r="M38" s="18"/>
      <c r="N38" s="19"/>
      <c r="O38" s="19"/>
      <c r="P38" s="19"/>
      <c r="Q38" s="19"/>
      <c r="R38" s="19"/>
    </row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/>
    <row r="46" spans="5:18" ht="15" customHeight="1"/>
    <row r="47" spans="5:18" ht="15" customHeight="1"/>
    <row r="48" spans="5:18" ht="15" customHeight="1"/>
    <row r="49" s="20" customFormat="1" ht="15" customHeight="1"/>
    <row r="50" s="20" customFormat="1" ht="15" customHeight="1"/>
    <row r="51" s="20" customFormat="1" ht="15" customHeight="1"/>
    <row r="52" s="20" customFormat="1" ht="15" customHeight="1"/>
    <row r="53" s="20" customFormat="1" ht="15" customHeight="1"/>
    <row r="54" s="20" customFormat="1" ht="15" customHeight="1"/>
    <row r="55" s="20" customFormat="1" ht="15" customHeight="1"/>
    <row r="56" s="20" customFormat="1" ht="15" customHeight="1"/>
    <row r="57" s="20" customFormat="1" ht="15" customHeight="1"/>
    <row r="58" s="20" customFormat="1" ht="15" customHeight="1"/>
    <row r="59" s="20" customFormat="1" ht="15" customHeight="1"/>
  </sheetData>
  <sheetProtection algorithmName="SHA-512" hashValue="yMJ5WOIwV3dboAn3z/23V8H/k/mLuDgnj0Gsq5wDZfxX+kC1HudO0/NV2++4DktCsOZsSMyI8Al/jxrQSKb7hw==" saltValue="Kp45gClBeyxLKMXiGmf6Dw==" spinCount="100000" sheet="1" selectLockedCells="1"/>
  <mergeCells count="5">
    <mergeCell ref="J9:K9"/>
    <mergeCell ref="J10:K10"/>
    <mergeCell ref="J11:K11"/>
    <mergeCell ref="J12:K12"/>
    <mergeCell ref="F29:H29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Clase 36 (Reapertura)</vt:lpstr>
      <vt:lpstr>Clase 2 (Reapertura)</vt:lpstr>
      <vt:lpstr>Clase 6</vt:lpstr>
      <vt:lpstr>'Clase 2 (Reapertura)'!Área_de_impresión</vt:lpstr>
      <vt:lpstr>'Clase 36 (Reapertura)'!Área_de_impresión</vt:lpstr>
      <vt:lpstr>'Clase 6'!Área_de_impresión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Allaria Office</cp:lastModifiedBy>
  <cp:lastPrinted>2015-07-31T16:30:16Z</cp:lastPrinted>
  <dcterms:created xsi:type="dcterms:W3CDTF">2011-08-09T15:22:30Z</dcterms:created>
  <dcterms:modified xsi:type="dcterms:W3CDTF">2025-03-12T15:24:32Z</dcterms:modified>
</cp:coreProperties>
</file>