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Hipotecario\Clase 9\"/>
    </mc:Choice>
  </mc:AlternateContent>
  <xr:revisionPtr revIDLastSave="0" documentId="13_ncr:1_{52760339-599C-4759-A172-3CB1606343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lase 9" sheetId="14" r:id="rId1"/>
  </sheets>
  <definedNames>
    <definedName name="_xlnm.Print_Area" localSheetId="0">'Clase 9'!$A$4:$P$21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4" l="1"/>
  <c r="F19" i="14" l="1"/>
  <c r="B19" i="14"/>
  <c r="H19" i="14"/>
  <c r="H16" i="14"/>
  <c r="D19" i="14"/>
  <c r="B16" i="14"/>
  <c r="B17" i="14" s="1"/>
  <c r="B18" i="14" s="1"/>
  <c r="D15" i="14"/>
  <c r="B15" i="14" s="1"/>
  <c r="C15" i="14"/>
  <c r="D18" i="14" l="1"/>
  <c r="J19" i="14"/>
  <c r="C19" i="14"/>
  <c r="C18" i="14"/>
  <c r="C17" i="14"/>
  <c r="J27" i="14" l="1"/>
  <c r="C16" i="14"/>
  <c r="K15" i="14"/>
  <c r="G16" i="14" s="1"/>
  <c r="G15" i="14"/>
  <c r="L15" i="14" s="1"/>
  <c r="F15" i="14"/>
  <c r="K16" i="14" l="1"/>
  <c r="G17" i="14" s="1"/>
  <c r="K17" i="14" l="1"/>
  <c r="G18" i="14" s="1"/>
  <c r="K18" i="14" l="1"/>
  <c r="G19" i="14" s="1"/>
  <c r="K19" i="14" l="1"/>
  <c r="O19" i="14"/>
  <c r="H18" i="14"/>
  <c r="I18" i="14" s="1"/>
  <c r="L18" i="14" s="1"/>
  <c r="I19" i="14"/>
  <c r="L19" i="14" s="1"/>
  <c r="H17" i="14"/>
  <c r="I17" i="14" s="1"/>
  <c r="L17" i="14" s="1"/>
  <c r="D16" i="14"/>
  <c r="F16" i="14" s="1"/>
  <c r="I16" i="14"/>
  <c r="D17" i="14"/>
  <c r="F17" i="14" s="1"/>
  <c r="O17" i="14" s="1"/>
  <c r="F18" i="14"/>
  <c r="O18" i="14" s="1"/>
  <c r="L16" i="14" l="1"/>
  <c r="I27" i="14"/>
  <c r="L9" i="14"/>
  <c r="O16" i="14"/>
  <c r="N16" i="14" l="1"/>
  <c r="N19" i="14"/>
  <c r="N18" i="14"/>
  <c r="N17" i="14"/>
  <c r="L27" i="14"/>
  <c r="N27" i="14" l="1"/>
  <c r="Q16" i="14" s="1"/>
  <c r="Q19" i="14" l="1"/>
  <c r="L12" i="14"/>
  <c r="Q17" i="14"/>
  <c r="Q18" i="14"/>
  <c r="L11" i="14" l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<sst xmlns="http://schemas.openxmlformats.org/spreadsheetml/2006/main" count="23" uniqueCount="23">
  <si>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</si>
  <si>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</si>
  <si>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</si>
  <si>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</si>
  <si>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</si>
  <si>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</si>
  <si>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</si>
  <si>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</si>
  <si>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</si>
  <si>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</si>
  <si>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</si>
  <si>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</si>
  <si>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</si>
  <si>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</si>
  <si>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</si>
  <si>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</si>
  <si>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</si>
  <si>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TNA (90 d)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</si>
  <si>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</si>
  <si>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Margen a licitar</t>
  </si>
  <si>
    <t>TAMAR Proyectada</t>
  </si>
  <si>
    <t>Pesos Tamar - 12 meses</t>
  </si>
  <si>
    <t>Obligaciones Negociables Banco Hipotecario S.A. Clase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</si>
</sst>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3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74" fontId="10" fillId="5" borderId="0" xfId="1" applyNumberFormat="1" applyFont="1" applyFill="1" applyBorder="1" applyProtection="1">
      <protection hidden="1"/>
    </xf>
    <xf numFmtId="10" fontId="8" fillId="3" borderId="2" xfId="1" applyNumberFormat="1" applyFont="1" applyFill="1" applyBorder="1" applyProtection="1">
      <protection locked="0"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165" fontId="8" fillId="2" borderId="2" xfId="5" applyNumberFormat="1" applyFont="1" applyFill="1" applyBorder="1" applyProtection="1"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379</xdr:colOff>
      <xdr:row>3</xdr:row>
      <xdr:rowOff>122488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FA927A-32A9-4988-B463-00E57264C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923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154781</xdr:colOff>
      <xdr:row>0</xdr:row>
      <xdr:rowOff>166688</xdr:rowOff>
    </xdr:from>
    <xdr:to>
      <xdr:col>5</xdr:col>
      <xdr:colOff>1993529</xdr:colOff>
      <xdr:row>4</xdr:row>
      <xdr:rowOff>54928</xdr:rowOff>
    </xdr:to>
    <xdr:pic>
      <xdr:nvPicPr>
        <xdr:cNvPr id="4" name="image1.png" descr="4063_BH_11-05-11">
          <a:extLst>
            <a:ext uri="{FF2B5EF4-FFF2-40B4-BE49-F238E27FC236}">
              <a16:creationId xmlns:a16="http://schemas.microsoft.com/office/drawing/2014/main" id="{27C16937-1FCF-41D3-BAA6-C8B3D06C8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166688"/>
          <a:ext cx="1832398" cy="650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3195-6F50-434E-9D8C-19E08B405D00}">
  <sheetPr>
    <pageSetUpPr fitToPage="1"/>
  </sheetPr>
  <dimension ref="A1:CU56"/>
  <sheetViews>
    <sheetView showGridLines="0" tabSelected="1" zoomScale="90" zoomScaleNormal="90" workbookViewId="0">
      <selection activeCell="G12" sqref="G12"/>
    </sheetView>
  </sheetViews>
  <sheetFormatPr baseColWidth="10" defaultColWidth="11.42578125" defaultRowHeight="15" customHeight="1" zeroHeight="1" outlineLevelCol="1"/>
  <cols>
    <col min="1" max="1" width="20.42578125" style="21" customWidth="1"/>
    <col min="2" max="2" width="39.5703125" style="21" hidden="1" customWidth="1" outlineLevel="1"/>
    <col min="3" max="3" width="33" style="21" hidden="1" customWidth="1" outlineLevel="1"/>
    <col min="4" max="4" width="55.42578125" style="21" hidden="1" customWidth="1" outlineLevel="1"/>
    <col min="5" max="5" width="23.7109375" style="27" hidden="1" customWidth="1" outlineLevel="1"/>
    <col min="6" max="6" width="31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19.14062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7" width="0" style="21" hidden="1" customWidth="1" outlineLevel="1" collapsed="1"/>
    <col min="98" max="98" width="0" style="21" hidden="1" customWidth="1" outlineLevel="1"/>
    <col min="99" max="99" width="11.42578125" style="21" outlineLevel="1" collapsed="1"/>
    <col min="100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22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21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11</v>
      </c>
      <c r="G9" s="24">
        <v>1000000</v>
      </c>
      <c r="H9" s="17"/>
      <c r="I9" s="17"/>
      <c r="J9" s="59" t="s">
        <v>0</v>
      </c>
      <c r="K9" s="59"/>
      <c r="L9" s="3">
        <f>+XIRR(L15:L19,F15:F19)</f>
        <v>0.3738516867160796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45709</v>
      </c>
      <c r="H10" s="17"/>
      <c r="I10" s="17"/>
      <c r="J10" s="59" t="s">
        <v>17</v>
      </c>
      <c r="K10" s="59"/>
      <c r="L10" s="3">
        <f>+(((1+L9)^(90/365)-1)*(365/90))</f>
        <v>0.33038681653651064</v>
      </c>
      <c r="M10" s="56"/>
      <c r="N10" s="20"/>
      <c r="O10" s="20"/>
      <c r="P10" s="20"/>
      <c r="Q10" s="20"/>
      <c r="R10" s="20"/>
    </row>
    <row r="11" spans="2:18">
      <c r="E11" s="17"/>
      <c r="F11" s="23" t="s">
        <v>19</v>
      </c>
      <c r="G11" s="57">
        <v>2.75E-2</v>
      </c>
      <c r="H11" s="17"/>
      <c r="I11" s="17"/>
      <c r="J11" s="59" t="s">
        <v>2</v>
      </c>
      <c r="K11" s="59"/>
      <c r="L11" s="62">
        <f>+SUM(Q16:Q19)/(365/12)</f>
        <v>10.745412440151426</v>
      </c>
      <c r="M11" s="26"/>
      <c r="N11" s="20"/>
      <c r="O11" s="20"/>
      <c r="P11" s="20"/>
      <c r="Q11" s="20"/>
      <c r="R11" s="20"/>
    </row>
    <row r="12" spans="2:18">
      <c r="E12" s="17"/>
      <c r="F12" s="23" t="s">
        <v>20</v>
      </c>
      <c r="G12" s="57">
        <v>0.30312499999999998</v>
      </c>
      <c r="H12" s="30"/>
      <c r="I12" s="22"/>
      <c r="J12" s="59" t="s">
        <v>8</v>
      </c>
      <c r="K12" s="59"/>
      <c r="L12" s="3">
        <f>+N27/G15</f>
        <v>0.99999999876081946</v>
      </c>
      <c r="M12" s="28"/>
      <c r="N12" s="29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1"/>
      <c r="N13" s="29"/>
      <c r="O13" s="20"/>
      <c r="P13" s="20"/>
      <c r="Q13" s="20"/>
      <c r="R13" s="20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0" t="s">
        <v>12</v>
      </c>
      <c r="H14" s="50" t="s">
        <v>4</v>
      </c>
      <c r="I14" s="50" t="s">
        <v>13</v>
      </c>
      <c r="J14" s="50" t="s">
        <v>14</v>
      </c>
      <c r="K14" s="50" t="s">
        <v>15</v>
      </c>
      <c r="L14" s="51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45709</v>
      </c>
      <c r="C15" s="52">
        <f>+$G$11+$G$12</f>
        <v>0.330625</v>
      </c>
      <c r="D15" s="7">
        <f>+G10</f>
        <v>45709</v>
      </c>
      <c r="E15" s="40"/>
      <c r="F15" s="8">
        <f>+G10</f>
        <v>45709</v>
      </c>
      <c r="G15" s="49">
        <f>+G9</f>
        <v>1000000</v>
      </c>
      <c r="H15" s="45"/>
      <c r="I15" s="44"/>
      <c r="J15" s="44"/>
      <c r="K15" s="49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20"/>
    </row>
    <row r="16" spans="2:18">
      <c r="B16" s="7">
        <f>DATE(YEAR(B15), MONTH(B15)+3, DAY(B15))</f>
        <v>45798</v>
      </c>
      <c r="C16" s="52">
        <f t="shared" ref="C16:C19" si="1">+$G$11+$G$12</f>
        <v>0.330625</v>
      </c>
      <c r="D16" s="10">
        <f>+B16</f>
        <v>45798</v>
      </c>
      <c r="E16" s="40"/>
      <c r="F16" s="11">
        <f t="shared" ref="F16" si="2">+D16</f>
        <v>45798</v>
      </c>
      <c r="G16" s="49">
        <f>+K15</f>
        <v>1000000</v>
      </c>
      <c r="H16" s="48">
        <f>+B16-B15</f>
        <v>89</v>
      </c>
      <c r="I16" s="44">
        <f>+G16*($G$11+$G$12)*(H16)/365</f>
        <v>80618.150684931505</v>
      </c>
      <c r="J16" s="44">
        <v>0</v>
      </c>
      <c r="K16" s="49">
        <f t="shared" si="0"/>
        <v>1000000</v>
      </c>
      <c r="L16" s="46">
        <f>+I16+J16</f>
        <v>80618.150684931505</v>
      </c>
      <c r="M16" s="41"/>
      <c r="N16" s="12">
        <f>+L16/(1+$L$9)^((O16)/365)</f>
        <v>74610.196347878154</v>
      </c>
      <c r="O16" s="13">
        <f>+F16-$F$15</f>
        <v>89</v>
      </c>
      <c r="P16" s="1"/>
      <c r="Q16" s="14">
        <f>+(N16/$N$27)*O16</f>
        <v>6.6403074831896962</v>
      </c>
      <c r="R16" s="20"/>
    </row>
    <row r="17" spans="2:18">
      <c r="B17" s="7">
        <f t="shared" ref="B17:B18" si="3">DATE(YEAR(B16), MONTH(B16)+3, DAY(B16))</f>
        <v>45890</v>
      </c>
      <c r="C17" s="52">
        <f t="shared" si="1"/>
        <v>0.330625</v>
      </c>
      <c r="D17" s="10">
        <f t="shared" ref="D17" si="4">+B17</f>
        <v>45890</v>
      </c>
      <c r="E17" s="40"/>
      <c r="F17" s="11">
        <f t="shared" ref="F17:F18" si="5">+D17</f>
        <v>45890</v>
      </c>
      <c r="G17" s="49">
        <f t="shared" ref="G17:G19" si="6">+K16</f>
        <v>1000000</v>
      </c>
      <c r="H17" s="48">
        <f t="shared" ref="H17" si="7">+B17-B16</f>
        <v>92</v>
      </c>
      <c r="I17" s="44">
        <f t="shared" ref="I17:I19" si="8">+G17*($G$11+$G$12)*(H17)/365</f>
        <v>83335.61643835617</v>
      </c>
      <c r="J17" s="44">
        <v>0</v>
      </c>
      <c r="K17" s="49">
        <f t="shared" ref="K17:K19" si="9">+G17-J17</f>
        <v>1000000</v>
      </c>
      <c r="L17" s="46">
        <f t="shared" ref="L17:L19" si="10">+I17+J17</f>
        <v>83335.61643835617</v>
      </c>
      <c r="M17" s="41"/>
      <c r="N17" s="12">
        <f t="shared" ref="N17:N19" si="11">+L17/(1+$L$9)^((O17)/365)</f>
        <v>71191.411340896244</v>
      </c>
      <c r="O17" s="13">
        <f t="shared" ref="O17:O19" si="12">+F17-$F$15</f>
        <v>181</v>
      </c>
      <c r="P17" s="1"/>
      <c r="Q17" s="14">
        <f>+(N17/$N$27)*O17</f>
        <v>12.88564546866986</v>
      </c>
      <c r="R17" s="20"/>
    </row>
    <row r="18" spans="2:18">
      <c r="B18" s="7">
        <f t="shared" si="3"/>
        <v>45982</v>
      </c>
      <c r="C18" s="52">
        <f t="shared" si="1"/>
        <v>0.330625</v>
      </c>
      <c r="D18" s="10">
        <f>+B18</f>
        <v>45982</v>
      </c>
      <c r="E18" s="40"/>
      <c r="F18" s="11">
        <f t="shared" si="5"/>
        <v>45982</v>
      </c>
      <c r="G18" s="49">
        <f t="shared" si="6"/>
        <v>1000000</v>
      </c>
      <c r="H18" s="48">
        <f>+B18-B17</f>
        <v>92</v>
      </c>
      <c r="I18" s="44">
        <f t="shared" si="8"/>
        <v>83335.61643835617</v>
      </c>
      <c r="J18" s="44">
        <v>0</v>
      </c>
      <c r="K18" s="49">
        <f t="shared" si="9"/>
        <v>1000000</v>
      </c>
      <c r="L18" s="46">
        <f t="shared" si="10"/>
        <v>83335.61643835617</v>
      </c>
      <c r="M18" s="41"/>
      <c r="N18" s="12">
        <f t="shared" si="11"/>
        <v>65714.196469979186</v>
      </c>
      <c r="O18" s="13">
        <f t="shared" si="12"/>
        <v>273</v>
      </c>
      <c r="P18" s="1"/>
      <c r="Q18" s="14">
        <f t="shared" ref="Q18" si="13">+(N18/$N$27)*O18</f>
        <v>17.939975658535189</v>
      </c>
      <c r="R18" s="20"/>
    </row>
    <row r="19" spans="2:18" ht="15.75" thickBot="1">
      <c r="B19" s="7">
        <f>DATE(YEAR(B18), MONTH(B18)+3, DAY(B18))+2</f>
        <v>46076</v>
      </c>
      <c r="C19" s="52">
        <f t="shared" si="1"/>
        <v>0.330625</v>
      </c>
      <c r="D19" s="10">
        <f>+B19</f>
        <v>46076</v>
      </c>
      <c r="E19" s="40"/>
      <c r="F19" s="11">
        <f>+D19</f>
        <v>46076</v>
      </c>
      <c r="G19" s="49">
        <f t="shared" si="6"/>
        <v>1000000</v>
      </c>
      <c r="H19" s="48">
        <f>+B19-B18</f>
        <v>94</v>
      </c>
      <c r="I19" s="44">
        <f t="shared" si="8"/>
        <v>85147.260273972599</v>
      </c>
      <c r="J19" s="49">
        <f>+G9</f>
        <v>1000000</v>
      </c>
      <c r="K19" s="49">
        <f t="shared" si="9"/>
        <v>0</v>
      </c>
      <c r="L19" s="46">
        <f t="shared" si="10"/>
        <v>1085147.2602739725</v>
      </c>
      <c r="M19" s="41"/>
      <c r="N19" s="12">
        <f t="shared" si="11"/>
        <v>788484.19460206584</v>
      </c>
      <c r="O19" s="13">
        <f t="shared" si="12"/>
        <v>367</v>
      </c>
      <c r="P19" s="1"/>
      <c r="Q19" s="14">
        <f>+(N19/$N$27)*O19</f>
        <v>289.37369977754446</v>
      </c>
      <c r="R19" s="20"/>
    </row>
    <row r="20" spans="2:18" ht="15.75" hidden="1" thickBot="1">
      <c r="B20" s="7"/>
      <c r="C20" s="38"/>
      <c r="D20" s="10"/>
      <c r="E20" s="40"/>
      <c r="F20" s="11"/>
      <c r="G20" s="49"/>
      <c r="H20" s="48"/>
      <c r="I20" s="44"/>
      <c r="J20" s="44"/>
      <c r="K20" s="49"/>
      <c r="L20" s="46"/>
      <c r="M20" s="41"/>
      <c r="N20" s="12"/>
      <c r="O20" s="13"/>
      <c r="P20" s="1"/>
      <c r="Q20" s="14"/>
      <c r="R20" s="20"/>
    </row>
    <row r="21" spans="2:18" ht="15.75" hidden="1" thickBot="1">
      <c r="B21" s="7"/>
      <c r="C21" s="38"/>
      <c r="D21" s="10"/>
      <c r="E21" s="40"/>
      <c r="F21" s="11"/>
      <c r="G21" s="49"/>
      <c r="H21" s="48"/>
      <c r="I21" s="44"/>
      <c r="J21" s="44"/>
      <c r="K21" s="49"/>
      <c r="L21" s="46"/>
      <c r="M21" s="41"/>
      <c r="N21" s="12"/>
      <c r="O21" s="13"/>
      <c r="P21" s="1"/>
      <c r="Q21" s="14"/>
      <c r="R21" s="20"/>
    </row>
    <row r="22" spans="2:18" ht="15.75" hidden="1" thickBot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12"/>
      <c r="O22" s="13"/>
      <c r="P22" s="1"/>
      <c r="Q22" s="14"/>
      <c r="R22" s="20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12"/>
      <c r="O23" s="13"/>
      <c r="P23" s="1"/>
      <c r="Q23" s="14"/>
      <c r="R23" s="20"/>
    </row>
    <row r="24" spans="2:18" ht="15.75" hidden="1" thickBot="1">
      <c r="B24" s="7"/>
      <c r="C24" s="38"/>
      <c r="D24" s="10"/>
      <c r="E24" s="40"/>
      <c r="F24" s="11"/>
      <c r="G24" s="49"/>
      <c r="H24" s="48"/>
      <c r="I24" s="44"/>
      <c r="J24" s="49"/>
      <c r="K24" s="49"/>
      <c r="L24" s="46"/>
      <c r="M24" s="41"/>
      <c r="N24" s="12"/>
      <c r="O24" s="13"/>
      <c r="P24" s="1"/>
      <c r="Q24" s="14"/>
      <c r="R24" s="20"/>
    </row>
    <row r="25" spans="2:18" ht="15.75" hidden="1" thickBot="1">
      <c r="B25" s="7"/>
      <c r="C25" s="38"/>
      <c r="D25" s="10"/>
      <c r="E25" s="40"/>
      <c r="F25" s="11"/>
      <c r="G25" s="49"/>
      <c r="H25" s="48"/>
      <c r="I25" s="44"/>
      <c r="J25" s="49"/>
      <c r="K25" s="49"/>
      <c r="L25" s="46"/>
      <c r="M25" s="41"/>
      <c r="N25" s="12"/>
      <c r="O25" s="13"/>
      <c r="P25" s="1"/>
      <c r="Q25" s="14"/>
      <c r="R25" s="20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12"/>
      <c r="O26" s="13"/>
      <c r="P26" s="1"/>
      <c r="Q26" s="14"/>
      <c r="R26" s="20"/>
    </row>
    <row r="27" spans="2:18" ht="15.75" thickBot="1">
      <c r="B27" s="39"/>
      <c r="C27" s="38"/>
      <c r="D27" s="39"/>
      <c r="E27" s="17"/>
      <c r="F27" s="60" t="s">
        <v>10</v>
      </c>
      <c r="G27" s="61"/>
      <c r="H27" s="61"/>
      <c r="I27" s="53">
        <f>SUM(I16:I23)</f>
        <v>332436.64383561641</v>
      </c>
      <c r="J27" s="54">
        <f>SUM(J16:J23)</f>
        <v>1000000</v>
      </c>
      <c r="K27" s="53"/>
      <c r="L27" s="55">
        <f>SUM(L15:L23)</f>
        <v>332436.64383561653</v>
      </c>
      <c r="M27" s="42"/>
      <c r="N27" s="15">
        <f>SUM(N16:N23)</f>
        <v>999999.99876081944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58" t="s">
        <v>18</v>
      </c>
      <c r="G30" s="58"/>
      <c r="H30" s="58"/>
      <c r="I30" s="58"/>
      <c r="J30" s="58"/>
      <c r="K30" s="58"/>
      <c r="L30" s="58"/>
    </row>
    <row r="31" spans="2:18" s="1" customFormat="1" ht="26.25" customHeight="1">
      <c r="E31" s="16"/>
      <c r="F31" s="58"/>
      <c r="G31" s="58"/>
      <c r="H31" s="58"/>
      <c r="I31" s="58"/>
      <c r="J31" s="58"/>
      <c r="K31" s="58"/>
      <c r="L31" s="58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Pi+wx1nFjLnczNZPTssqO+9gVnzZfby/O9aUCQQ3IEPLIXApZaI8DtbpuTWi+TcwVdZJstpJOFqLVrh0XuFzXA==" saltValue="8blDIA7IeONryhn7ntv09w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Clase 9</vt:lpstr>
      <vt:lpstr>'Clase 9'!Área_de_impresión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2025-02-19T13:18:08Z</dcterms:modified>
</cp:coreProperties>
</file>