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H\"/>
    </mc:Choice>
  </mc:AlternateContent>
  <xr:revisionPtr revIDLastSave="0" documentId="13_ncr:1_{B093AC3A-9003-4295-8EE0-D5B484176D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N Banco Supervielle S.A." sheetId="12" r:id="rId1"/>
  </sheets>
  <definedNames>
    <definedName name="_xlnm.Print_Area" localSheetId="0">'ON Banco Supervielle S.A.'!$A$4:$P$21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2" l="1"/>
  <c r="H18" i="12"/>
  <c r="H17" i="12"/>
  <c r="H16" i="12"/>
  <c r="O18" i="12" l="1"/>
  <c r="O17" i="12"/>
  <c r="O16" i="12"/>
  <c r="D19" i="12"/>
  <c r="D17" i="12"/>
  <c r="D16" i="12"/>
  <c r="J19" i="12"/>
  <c r="J27" i="12" s="1"/>
  <c r="D18" i="12" l="1"/>
  <c r="C19" i="12"/>
  <c r="C18" i="12"/>
  <c r="C16" i="12"/>
  <c r="C15" i="12"/>
  <c r="F19" i="12" l="1"/>
  <c r="F18" i="12"/>
  <c r="F16" i="12"/>
  <c r="D15" i="12"/>
  <c r="B15" i="12" s="1"/>
  <c r="F15" i="12"/>
  <c r="O19" i="12" s="1"/>
  <c r="G15" i="12" l="1"/>
  <c r="L15" i="12" s="1"/>
  <c r="C17" i="12"/>
  <c r="F17" i="12" l="1"/>
  <c r="K15" i="12"/>
  <c r="G16" i="12" l="1"/>
  <c r="K16" i="12" l="1"/>
  <c r="G17" i="12" s="1"/>
  <c r="I16" i="12"/>
  <c r="L16" i="12" l="1"/>
  <c r="K17" i="12"/>
  <c r="G18" i="12" s="1"/>
  <c r="I17" i="12"/>
  <c r="L17" i="12" s="1"/>
  <c r="I18" i="12" l="1"/>
  <c r="K18" i="12"/>
  <c r="G19" i="12" s="1"/>
  <c r="L18" i="12" l="1"/>
  <c r="I19" i="12"/>
  <c r="L19" i="12" s="1"/>
  <c r="K19" i="12"/>
  <c r="L9" i="12" l="1"/>
  <c r="L27" i="12"/>
  <c r="I27" i="12"/>
  <c r="N16" i="12" l="1"/>
  <c r="N17" i="12"/>
  <c r="N18" i="12"/>
  <c r="N19" i="12"/>
  <c r="L10" i="12"/>
  <c r="N27" i="12" l="1"/>
  <c r="Q16" i="12" s="1"/>
  <c r="Q17" i="12" l="1"/>
  <c r="Q18" i="12"/>
  <c r="Q19" i="12"/>
  <c r="L12" i="12"/>
  <c r="L11" i="12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<sst xmlns="http://schemas.openxmlformats.org/spreadsheetml/2006/main" count="23" uniqueCount="23">
  <si>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</si>
  <si>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</si>
  <si>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</si>
  <si>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</si>
  <si>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</si>
  <si>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</si>
  <si>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</si>
  <si>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</si>
  <si>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</si>
  <si>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</si>
  <si>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</si>
  <si>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</si>
  <si>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</si>
  <si>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</si>
  <si>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</si>
  <si>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</si>
  <si>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</si>
  <si>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</si>
  <si>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</si>
  <si>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>TNA (90 d)</t>
  </si>
  <si>
    <t>Pesos Badlar - 12 meses</t>
  </si>
  <si>
    <t>Obligaciones Negociables Banco Supervielle S.A. Clase H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</si>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</sst>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3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5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4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1852094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R56"/>
  <sheetViews>
    <sheetView showGridLines="0" tabSelected="1" zoomScale="80" zoomScaleNormal="80" workbookViewId="0">
      <selection activeCell="G12" sqref="G12"/>
    </sheetView>
  </sheetViews>
  <sheetFormatPr baseColWidth="10" defaultColWidth="11.453125" defaultRowHeight="15" customHeight="1" zeroHeight="1" outlineLevelCol="1"/>
  <cols>
    <col min="1" max="1" width="5.54296875" style="21" customWidth="1"/>
    <col min="2" max="2" width="38.7265625" style="21" hidden="1" customWidth="1" outlineLevel="1"/>
    <col min="3" max="3" width="16" style="21" hidden="1" customWidth="1" outlineLevel="1"/>
    <col min="4" max="4" width="38.7265625" style="21" hidden="1" customWidth="1" outlineLevel="1"/>
    <col min="5" max="5" width="19.81640625" style="28" hidden="1" customWidth="1" outlineLevel="1"/>
    <col min="6" max="6" width="40.1796875" style="44" customWidth="1" collapsed="1"/>
    <col min="7" max="7" width="17.1796875" style="28" customWidth="1"/>
    <col min="8" max="8" width="13.7265625" style="28" bestFit="1" customWidth="1"/>
    <col min="9" max="9" width="18.1796875" style="28" customWidth="1"/>
    <col min="10" max="10" width="18.54296875" style="28" bestFit="1" customWidth="1"/>
    <col min="11" max="11" width="24.7265625" style="28" customWidth="1"/>
    <col min="12" max="12" width="19.453125" style="28" customWidth="1"/>
    <col min="13" max="13" width="19.7265625" style="33" customWidth="1"/>
    <col min="14" max="14" width="11.26953125" style="21" hidden="1" customWidth="1" outlineLevel="1"/>
    <col min="15" max="15" width="11" style="21" hidden="1" customWidth="1" outlineLevel="1"/>
    <col min="16" max="16" width="19.7265625" style="21" hidden="1" customWidth="1" outlineLevel="1"/>
    <col min="17" max="17" width="9.81640625" style="21" hidden="1" customWidth="1" outlineLevel="1"/>
    <col min="18" max="18" width="19.7265625" style="21" customWidth="1" collapsed="1"/>
    <col min="19" max="19" width="19.7265625" style="21" customWidth="1"/>
    <col min="20" max="88" width="11.453125" style="21" customWidth="1"/>
    <col min="89" max="90" width="11.453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11.453125" style="21" outlineLevel="1" collapsed="1"/>
    <col min="97" max="16384" width="11.453125" style="21" outlineLevel="1"/>
  </cols>
  <sheetData>
    <row r="1" spans="2:18" ht="15" customHeight="1"/>
    <row r="2" spans="2:18" ht="14.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4.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4.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4.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4.5">
      <c r="E6" s="17"/>
      <c r="F6" s="2" t="s">
        <v>21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4.5">
      <c r="E7" s="17"/>
      <c r="F7" s="2" t="s">
        <v>20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4.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4.5">
      <c r="E9" s="17"/>
      <c r="F9" s="23" t="s">
        <v>11</v>
      </c>
      <c r="G9" s="24">
        <v>1000000</v>
      </c>
      <c r="H9" s="17"/>
      <c r="I9" s="17"/>
      <c r="J9" s="60" t="s">
        <v>0</v>
      </c>
      <c r="K9" s="60"/>
      <c r="L9" s="3">
        <f>+XIRR(L15:L19,F15:F19)</f>
        <v>0.50287876725196845</v>
      </c>
      <c r="M9" s="4"/>
      <c r="N9" s="20"/>
      <c r="O9" s="20"/>
      <c r="P9" s="20"/>
      <c r="Q9" s="20"/>
      <c r="R9" s="20"/>
    </row>
    <row r="10" spans="2:18" ht="14.5">
      <c r="E10" s="17"/>
      <c r="F10" s="23" t="s">
        <v>6</v>
      </c>
      <c r="G10" s="25">
        <v>45506</v>
      </c>
      <c r="H10" s="17"/>
      <c r="I10" s="17"/>
      <c r="J10" s="60" t="s">
        <v>19</v>
      </c>
      <c r="K10" s="60"/>
      <c r="L10" s="3">
        <f>+NOMINAL(L9,4)</f>
        <v>0.42885007172180423</v>
      </c>
      <c r="M10" s="26"/>
      <c r="N10" s="20"/>
      <c r="O10" s="20"/>
      <c r="P10" s="20"/>
      <c r="Q10" s="20"/>
      <c r="R10" s="20"/>
    </row>
    <row r="11" spans="2:18" ht="14.5">
      <c r="E11" s="17"/>
      <c r="F11" s="23" t="s">
        <v>18</v>
      </c>
      <c r="G11" s="51">
        <v>0.37687500000000002</v>
      </c>
      <c r="H11" s="17"/>
      <c r="I11" s="17"/>
      <c r="J11" s="60" t="s">
        <v>2</v>
      </c>
      <c r="K11" s="60"/>
      <c r="L11" s="27">
        <f>+SUM(Q16:Q19)/(365/12)</f>
        <v>10.425796062317017</v>
      </c>
      <c r="M11" s="26"/>
      <c r="N11" s="20"/>
      <c r="O11" s="20"/>
      <c r="P11" s="20"/>
      <c r="Q11" s="20"/>
      <c r="R11" s="20"/>
    </row>
    <row r="12" spans="2:18" ht="14.5">
      <c r="E12" s="17"/>
      <c r="F12" s="23" t="s">
        <v>12</v>
      </c>
      <c r="G12" s="45">
        <v>5.2499999999999998E-2</v>
      </c>
      <c r="H12" s="31"/>
      <c r="I12" s="22"/>
      <c r="J12" s="60" t="s">
        <v>8</v>
      </c>
      <c r="K12" s="60"/>
      <c r="L12" s="3">
        <f>+N27/G15</f>
        <v>1.0000000029067673</v>
      </c>
      <c r="M12" s="29"/>
      <c r="N12" s="30"/>
      <c r="O12" s="20"/>
      <c r="P12" s="20"/>
      <c r="Q12" s="20"/>
      <c r="R12" s="20"/>
    </row>
    <row r="13" spans="2:18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9" t="s">
        <v>3</v>
      </c>
      <c r="G14" s="53" t="s">
        <v>13</v>
      </c>
      <c r="H14" s="53" t="s">
        <v>4</v>
      </c>
      <c r="I14" s="53" t="s">
        <v>14</v>
      </c>
      <c r="J14" s="53" t="s">
        <v>15</v>
      </c>
      <c r="K14" s="53" t="s">
        <v>16</v>
      </c>
      <c r="L14" s="54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 ht="14.5">
      <c r="B15" s="7">
        <f>+D15</f>
        <v>45506</v>
      </c>
      <c r="C15" s="55">
        <f>+$G$11+$G$12</f>
        <v>0.42937500000000001</v>
      </c>
      <c r="D15" s="7">
        <f>+G10</f>
        <v>45506</v>
      </c>
      <c r="E15" s="41"/>
      <c r="F15" s="8">
        <f>+G10</f>
        <v>45506</v>
      </c>
      <c r="G15" s="52">
        <f>+G9</f>
        <v>1000000</v>
      </c>
      <c r="H15" s="47"/>
      <c r="I15" s="46"/>
      <c r="J15" s="46"/>
      <c r="K15" s="52">
        <f t="shared" ref="K15:K16" si="0">+G15-J15</f>
        <v>1000000</v>
      </c>
      <c r="L15" s="48">
        <f>-G15</f>
        <v>-1000000</v>
      </c>
      <c r="M15" s="42"/>
      <c r="N15" s="9"/>
      <c r="O15" s="9"/>
      <c r="P15" s="1"/>
      <c r="Q15" s="1"/>
      <c r="R15" s="20"/>
    </row>
    <row r="16" spans="2:18" ht="14.5">
      <c r="B16" s="7">
        <v>45598</v>
      </c>
      <c r="C16" s="55">
        <f t="shared" ref="C16:C19" si="1">+$G$11+$G$12</f>
        <v>0.42937500000000001</v>
      </c>
      <c r="D16" s="10">
        <f>+B16+2</f>
        <v>45600</v>
      </c>
      <c r="E16" s="41"/>
      <c r="F16" s="11">
        <f t="shared" ref="F16" si="2">+D16</f>
        <v>45600</v>
      </c>
      <c r="G16" s="52">
        <f>+K15</f>
        <v>1000000</v>
      </c>
      <c r="H16" s="50">
        <f>+B16-B15</f>
        <v>92</v>
      </c>
      <c r="I16" s="46">
        <f>+G16*($G$11+$G$12)*(H16)/365</f>
        <v>108226.02739726027</v>
      </c>
      <c r="J16" s="46"/>
      <c r="K16" s="52">
        <f t="shared" si="0"/>
        <v>1000000</v>
      </c>
      <c r="L16" s="48">
        <f>+I16+J16</f>
        <v>108226.02739726027</v>
      </c>
      <c r="M16" s="42"/>
      <c r="N16" s="12">
        <f>+L16/(1+$L$9)^((O16)/365)</f>
        <v>97446.835745770484</v>
      </c>
      <c r="O16" s="13">
        <f>+F16-$F$15</f>
        <v>94</v>
      </c>
      <c r="P16" s="1"/>
      <c r="Q16" s="14">
        <f>+(N16/$N$27)*O16</f>
        <v>9.1600025334764297</v>
      </c>
      <c r="R16" s="20"/>
    </row>
    <row r="17" spans="2:18" ht="14.5">
      <c r="B17" s="7">
        <v>45690</v>
      </c>
      <c r="C17" s="55">
        <f t="shared" si="1"/>
        <v>0.42937500000000001</v>
      </c>
      <c r="D17" s="10">
        <f>+B17+1</f>
        <v>45691</v>
      </c>
      <c r="E17" s="41"/>
      <c r="F17" s="11">
        <f>+D17</f>
        <v>45691</v>
      </c>
      <c r="G17" s="52">
        <f>+K16</f>
        <v>1000000</v>
      </c>
      <c r="H17" s="50">
        <f>+B17-B16</f>
        <v>92</v>
      </c>
      <c r="I17" s="46">
        <f>+G17*($G$11+$G$12)*(H17)/365</f>
        <v>108226.02739726027</v>
      </c>
      <c r="J17" s="46"/>
      <c r="K17" s="52">
        <f>+G17-J17</f>
        <v>1000000</v>
      </c>
      <c r="L17" s="48">
        <f>+I17+J17</f>
        <v>108226.02739726027</v>
      </c>
      <c r="M17" s="42"/>
      <c r="N17" s="12">
        <f>+L17/(1+$L$9)^((O17)/365)</f>
        <v>88035.520246881424</v>
      </c>
      <c r="O17" s="13">
        <f>+F17-$F$15</f>
        <v>185</v>
      </c>
      <c r="P17" s="1"/>
      <c r="Q17" s="14">
        <f>+(N17/$N$27)*O17</f>
        <v>16.286571198331792</v>
      </c>
      <c r="R17" s="20"/>
    </row>
    <row r="18" spans="2:18" ht="14.5">
      <c r="B18" s="7">
        <v>45779</v>
      </c>
      <c r="C18" s="55">
        <f t="shared" si="1"/>
        <v>0.42937500000000001</v>
      </c>
      <c r="D18" s="10">
        <f t="shared" ref="D18" si="3">+B18</f>
        <v>45779</v>
      </c>
      <c r="E18" s="41"/>
      <c r="F18" s="11">
        <f t="shared" ref="F18:F19" si="4">+D18</f>
        <v>45779</v>
      </c>
      <c r="G18" s="52">
        <f t="shared" ref="G18:G19" si="5">+K17</f>
        <v>1000000</v>
      </c>
      <c r="H18" s="50">
        <f>+B18-B17</f>
        <v>89</v>
      </c>
      <c r="I18" s="46">
        <f>+G18*($G$11+$G$12)*(H18)/365</f>
        <v>104696.91780821918</v>
      </c>
      <c r="J18" s="46"/>
      <c r="K18" s="52">
        <f t="shared" ref="K18:K19" si="6">+G18-J18</f>
        <v>1000000</v>
      </c>
      <c r="L18" s="48">
        <f t="shared" ref="L18:L19" si="7">+I18+J18</f>
        <v>104696.91780821918</v>
      </c>
      <c r="M18" s="42"/>
      <c r="N18" s="12">
        <f>+L18/(1+$L$9)^((O18)/365)</f>
        <v>77197.72063111754</v>
      </c>
      <c r="O18" s="13">
        <f>+F18-$F$15</f>
        <v>273</v>
      </c>
      <c r="P18" s="1"/>
      <c r="Q18" s="14">
        <f>+(N18/$N$27)*O18</f>
        <v>21.074977671035033</v>
      </c>
      <c r="R18" s="20"/>
    </row>
    <row r="19" spans="2:18" thickBot="1">
      <c r="B19" s="7">
        <v>45871</v>
      </c>
      <c r="C19" s="55">
        <f t="shared" si="1"/>
        <v>0.42937500000000001</v>
      </c>
      <c r="D19" s="10">
        <f>+B19+2</f>
        <v>45873</v>
      </c>
      <c r="E19" s="41"/>
      <c r="F19" s="11">
        <f t="shared" si="4"/>
        <v>45873</v>
      </c>
      <c r="G19" s="52">
        <f t="shared" si="5"/>
        <v>1000000</v>
      </c>
      <c r="H19" s="50">
        <f>+D19-B18</f>
        <v>94</v>
      </c>
      <c r="I19" s="46">
        <f>+G19*($G$11+$G$12)*(H19)/365</f>
        <v>110578.76712328767</v>
      </c>
      <c r="J19" s="52">
        <f>G9*1</f>
        <v>1000000</v>
      </c>
      <c r="K19" s="52">
        <f t="shared" si="6"/>
        <v>0</v>
      </c>
      <c r="L19" s="48">
        <f t="shared" si="7"/>
        <v>1110578.7671232878</v>
      </c>
      <c r="M19" s="42"/>
      <c r="N19" s="12">
        <f>+L19/(1+$L$9)^((O19)/365)</f>
        <v>737319.92628299771</v>
      </c>
      <c r="O19" s="13">
        <f>+F19-$F$15</f>
        <v>367</v>
      </c>
      <c r="P19" s="1"/>
      <c r="Q19" s="14">
        <f>+(N19/$N$27)*O19</f>
        <v>270.59641215929935</v>
      </c>
      <c r="R19" s="20"/>
    </row>
    <row r="20" spans="2:18" ht="14.5" hidden="1">
      <c r="B20" s="7"/>
      <c r="C20" s="39"/>
      <c r="D20" s="10"/>
      <c r="E20" s="41"/>
      <c r="F20" s="11"/>
      <c r="G20" s="52"/>
      <c r="H20" s="50"/>
      <c r="I20" s="46"/>
      <c r="J20" s="46"/>
      <c r="K20" s="52"/>
      <c r="L20" s="48"/>
      <c r="M20" s="42"/>
      <c r="N20" s="12"/>
      <c r="O20" s="13"/>
      <c r="P20" s="1"/>
      <c r="Q20" s="14"/>
      <c r="R20" s="20"/>
    </row>
    <row r="21" spans="2:18" ht="14.5" hidden="1">
      <c r="B21" s="7"/>
      <c r="C21" s="39"/>
      <c r="D21" s="10"/>
      <c r="E21" s="41"/>
      <c r="F21" s="11"/>
      <c r="G21" s="52"/>
      <c r="H21" s="50"/>
      <c r="I21" s="46"/>
      <c r="J21" s="46"/>
      <c r="K21" s="52"/>
      <c r="L21" s="48"/>
      <c r="M21" s="42"/>
      <c r="N21" s="12"/>
      <c r="O21" s="13"/>
      <c r="P21" s="1"/>
      <c r="Q21" s="14"/>
      <c r="R21" s="20"/>
    </row>
    <row r="22" spans="2:18" ht="14.5" hidden="1">
      <c r="B22" s="7"/>
      <c r="C22" s="39"/>
      <c r="D22" s="10"/>
      <c r="E22" s="41"/>
      <c r="F22" s="11"/>
      <c r="G22" s="52"/>
      <c r="H22" s="50"/>
      <c r="I22" s="46"/>
      <c r="J22" s="46"/>
      <c r="K22" s="52"/>
      <c r="L22" s="48"/>
      <c r="M22" s="42"/>
      <c r="N22" s="12"/>
      <c r="O22" s="13"/>
      <c r="P22" s="1"/>
      <c r="Q22" s="14"/>
      <c r="R22" s="20"/>
    </row>
    <row r="23" spans="2:18" hidden="1" thickBot="1">
      <c r="B23" s="7"/>
      <c r="C23" s="39"/>
      <c r="D23" s="10"/>
      <c r="E23" s="41"/>
      <c r="F23" s="11"/>
      <c r="G23" s="52"/>
      <c r="H23" s="50"/>
      <c r="I23" s="46"/>
      <c r="J23" s="46"/>
      <c r="K23" s="52"/>
      <c r="L23" s="48"/>
      <c r="M23" s="42"/>
      <c r="N23" s="12"/>
      <c r="O23" s="13"/>
      <c r="P23" s="1"/>
      <c r="Q23" s="14"/>
      <c r="R23" s="20"/>
    </row>
    <row r="24" spans="2:18" ht="14.5" hidden="1">
      <c r="B24" s="7"/>
      <c r="C24" s="39"/>
      <c r="D24" s="10"/>
      <c r="E24" s="41"/>
      <c r="F24" s="11"/>
      <c r="G24" s="52"/>
      <c r="H24" s="50"/>
      <c r="I24" s="46"/>
      <c r="J24" s="52"/>
      <c r="K24" s="52"/>
      <c r="L24" s="48"/>
      <c r="M24" s="42"/>
      <c r="N24" s="12"/>
      <c r="O24" s="13"/>
      <c r="P24" s="1"/>
      <c r="Q24" s="14"/>
      <c r="R24" s="20"/>
    </row>
    <row r="25" spans="2:18" ht="14.5" hidden="1">
      <c r="B25" s="7"/>
      <c r="C25" s="39"/>
      <c r="D25" s="10"/>
      <c r="E25" s="41"/>
      <c r="F25" s="11"/>
      <c r="G25" s="52"/>
      <c r="H25" s="50"/>
      <c r="I25" s="46"/>
      <c r="J25" s="52"/>
      <c r="K25" s="52"/>
      <c r="L25" s="48"/>
      <c r="M25" s="42"/>
      <c r="N25" s="12"/>
      <c r="O25" s="13"/>
      <c r="P25" s="1"/>
      <c r="Q25" s="14"/>
      <c r="R25" s="20"/>
    </row>
    <row r="26" spans="2:18" hidden="1" thickBot="1">
      <c r="B26" s="7"/>
      <c r="C26" s="39"/>
      <c r="D26" s="10"/>
      <c r="E26" s="41"/>
      <c r="F26" s="11"/>
      <c r="G26" s="52"/>
      <c r="H26" s="50"/>
      <c r="I26" s="46"/>
      <c r="J26" s="52"/>
      <c r="K26" s="52"/>
      <c r="L26" s="48"/>
      <c r="M26" s="42"/>
      <c r="N26" s="12"/>
      <c r="O26" s="13"/>
      <c r="P26" s="1"/>
      <c r="Q26" s="14"/>
      <c r="R26" s="20"/>
    </row>
    <row r="27" spans="2:18" thickBot="1">
      <c r="B27" s="40"/>
      <c r="C27" s="39"/>
      <c r="D27" s="40"/>
      <c r="E27" s="17"/>
      <c r="F27" s="61" t="s">
        <v>10</v>
      </c>
      <c r="G27" s="62"/>
      <c r="H27" s="62"/>
      <c r="I27" s="56">
        <f>SUM(I16:I23)</f>
        <v>431727.73972602736</v>
      </c>
      <c r="J27" s="57">
        <f>SUM(J16:J23)</f>
        <v>1000000</v>
      </c>
      <c r="K27" s="56"/>
      <c r="L27" s="58">
        <f>SUM(L15:L23)</f>
        <v>431727.73972602759</v>
      </c>
      <c r="M27" s="43"/>
      <c r="N27" s="15">
        <f>SUM(N16:N23)</f>
        <v>1000000.0029067672</v>
      </c>
      <c r="O27" s="1"/>
      <c r="P27" s="1"/>
      <c r="Q27" s="1"/>
      <c r="R27" s="20"/>
    </row>
    <row r="28" spans="2:18" ht="14.5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 ht="14.5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59" t="s">
        <v>22</v>
      </c>
      <c r="G30" s="59"/>
      <c r="H30" s="59"/>
      <c r="I30" s="59"/>
      <c r="J30" s="59"/>
      <c r="K30" s="59"/>
      <c r="L30" s="59"/>
    </row>
    <row r="31" spans="2:18" s="1" customFormat="1" ht="26.25" customHeight="1">
      <c r="E31" s="16"/>
      <c r="F31" s="59"/>
      <c r="G31" s="59"/>
      <c r="H31" s="59"/>
      <c r="I31" s="59"/>
      <c r="J31" s="59"/>
      <c r="K31" s="59"/>
      <c r="L31" s="59"/>
    </row>
    <row r="32" spans="2:18" ht="14.5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 ht="14.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4.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4.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4.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4.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4.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Mj+d3BJojrGVi6k8gW1lAnVkam8azfp1lSGqOh5zvqnAEMnMNZmhq09p1tGuk1UQn+1im+Dbf65RJWcy8rVvyQ==" saltValue="V6xFnioJbXPEo2RlUl5PRA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Banco Supervielle S.A.</vt:lpstr>
      <vt:lpstr>'ON Banco Supervielle S.A.'!Área_de_impresión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2024-07-30T21:46:31Z</dcterms:modified>
</cp:coreProperties>
</file>