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Club Atletico River Plate\ON 1 RIVER\"/>
    </mc:Choice>
  </mc:AlternateContent>
  <xr:revisionPtr revIDLastSave="0" documentId="13_ncr:1_{5FB1A1DB-6EB2-45C5-90B0-3B0A92ACE6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ie I" sheetId="14" r:id="rId1"/>
  </sheets>
  <definedNames>
    <definedName name="_xlnm.Print_Area" localSheetId="0">'Serie I'!$A$4:$P$23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4" l="1"/>
  <c r="D25" i="14" s="1"/>
  <c r="F25" i="14" s="1"/>
  <c r="O22" i="14"/>
  <c r="O23" i="14"/>
  <c r="O24" i="14"/>
  <c r="H22" i="14"/>
  <c r="H23" i="14"/>
  <c r="H24" i="14"/>
  <c r="H25" i="14"/>
  <c r="F21" i="14"/>
  <c r="F22" i="14"/>
  <c r="F23" i="14"/>
  <c r="F24" i="14"/>
  <c r="D22" i="14"/>
  <c r="D23" i="14"/>
  <c r="D24" i="14"/>
  <c r="C22" i="14"/>
  <c r="C23" i="14"/>
  <c r="C24" i="14"/>
  <c r="C25" i="14"/>
  <c r="B24" i="14"/>
  <c r="B22" i="14"/>
  <c r="B23" i="14" s="1"/>
  <c r="C17" i="14"/>
  <c r="B21" i="14"/>
  <c r="B18" i="14"/>
  <c r="O25" i="14" l="1"/>
  <c r="D17" i="14"/>
  <c r="B17" i="14" s="1"/>
  <c r="B19" i="14" l="1"/>
  <c r="B20" i="14" s="1"/>
  <c r="H18" i="14"/>
  <c r="D20" i="14"/>
  <c r="C21" i="14"/>
  <c r="C20" i="14"/>
  <c r="C19" i="14"/>
  <c r="H21" i="14" l="1"/>
  <c r="D21" i="14"/>
  <c r="C18" i="14"/>
  <c r="G17" i="14"/>
  <c r="F17" i="14"/>
  <c r="L17" i="14" l="1"/>
  <c r="J23" i="14"/>
  <c r="J19" i="14"/>
  <c r="J25" i="14"/>
  <c r="J21" i="14"/>
  <c r="K17" i="14"/>
  <c r="G18" i="14" s="1"/>
  <c r="I18" i="14" s="1"/>
  <c r="J29" i="14" l="1"/>
  <c r="K18" i="14"/>
  <c r="G19" i="14" s="1"/>
  <c r="I19" i="14" s="1"/>
  <c r="L19" i="14" s="1"/>
  <c r="K19" i="14" l="1"/>
  <c r="G20" i="14" s="1"/>
  <c r="K20" i="14" s="1"/>
  <c r="G21" i="14" s="1"/>
  <c r="I21" i="14" s="1"/>
  <c r="K21" i="14" l="1"/>
  <c r="G22" i="14" s="1"/>
  <c r="I22" i="14" s="1"/>
  <c r="O21" i="14"/>
  <c r="H20" i="14"/>
  <c r="I20" i="14" s="1"/>
  <c r="L20" i="14" s="1"/>
  <c r="L21" i="14"/>
  <c r="H19" i="14"/>
  <c r="D18" i="14"/>
  <c r="F18" i="14" s="1"/>
  <c r="D19" i="14"/>
  <c r="F19" i="14" s="1"/>
  <c r="O19" i="14" s="1"/>
  <c r="F20" i="14"/>
  <c r="O20" i="14" s="1"/>
  <c r="L22" i="14" l="1"/>
  <c r="K22" i="14"/>
  <c r="G23" i="14" s="1"/>
  <c r="I23" i="14" s="1"/>
  <c r="L18" i="14"/>
  <c r="O18" i="14"/>
  <c r="K23" i="14" l="1"/>
  <c r="G24" i="14" s="1"/>
  <c r="I24" i="14" s="1"/>
  <c r="K24" i="14" l="1"/>
  <c r="G25" i="14" s="1"/>
  <c r="I25" i="14" s="1"/>
  <c r="L24" i="14"/>
  <c r="L23" i="14"/>
  <c r="L25" i="14" l="1"/>
  <c r="K25" i="14"/>
  <c r="L29" i="14" l="1"/>
  <c r="L11" i="14"/>
  <c r="I29" i="14"/>
  <c r="L12" i="14" l="1"/>
  <c r="N18" i="14"/>
  <c r="N20" i="14"/>
  <c r="N22" i="14"/>
  <c r="N21" i="14"/>
  <c r="N19" i="14"/>
  <c r="N23" i="14"/>
  <c r="N24" i="14"/>
  <c r="N25" i="14"/>
  <c r="N29" i="14" l="1"/>
  <c r="Q18" i="14" s="1"/>
  <c r="Q25" i="14" l="1"/>
  <c r="Q23" i="14"/>
  <c r="Q22" i="14"/>
  <c r="L14" i="14"/>
  <c r="Q24" i="14"/>
  <c r="Q19" i="14"/>
  <c r="Q20" i="14"/>
  <c r="Q21" i="14"/>
  <c r="L13" i="14" l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<sst xmlns="http://schemas.openxmlformats.org/spreadsheetml/2006/main" count="23" uniqueCount="23">
  <si>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</si>
  <si>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</si>
  <si>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</si>
  <si>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</si>
  <si>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</si>
  <si>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</si>
  <si>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</si>
  <si>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</si>
  <si>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</si>
  <si>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</si>
  <si>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</si>
  <si>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</si>
  <si>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</si>
  <si>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</si>
  <si>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</si>
  <si>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</si>
  <si>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</si>
  <si>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TNA (90 d)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</si>
  <si>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</si>
  <si>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Margen a licitar</t>
  </si>
  <si>
    <t>TAMAR Proyectada</t>
  </si>
  <si>
    <t>Obligaciones Negociables Club Atlético River Plate Asociación Civil Serie I - Bono Social</t>
  </si>
  <si>
    <t>Pesos Tamar - 24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</si>
</sst>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3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4" fontId="10" fillId="5" borderId="0" xfId="1" applyNumberFormat="1" applyFont="1" applyFill="1" applyBorder="1" applyProtection="1">
      <protection hidden="1"/>
    </xf>
    <xf numFmtId="10" fontId="8" fillId="3" borderId="2" xfId="1" applyNumberFormat="1" applyFont="1" applyFill="1" applyBorder="1" applyProtection="1">
      <protection locked="0" hidden="1"/>
    </xf>
    <xf numFmtId="165" fontId="8" fillId="2" borderId="2" xfId="5" applyFont="1" applyFill="1" applyBorder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379</xdr:colOff>
      <xdr:row>3</xdr:row>
      <xdr:rowOff>122488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FA927A-32A9-4988-B463-00E57264C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92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148166</xdr:colOff>
      <xdr:row>0</xdr:row>
      <xdr:rowOff>116416</xdr:rowOff>
    </xdr:from>
    <xdr:to>
      <xdr:col>5</xdr:col>
      <xdr:colOff>1058332</xdr:colOff>
      <xdr:row>6</xdr:row>
      <xdr:rowOff>113168</xdr:rowOff>
    </xdr:to>
    <xdr:pic>
      <xdr:nvPicPr>
        <xdr:cNvPr id="3" name="Imagen 2" descr="Club Atlético River Plate - Wikipedia, la enciclopedia libre">
          <a:extLst>
            <a:ext uri="{FF2B5EF4-FFF2-40B4-BE49-F238E27FC236}">
              <a16:creationId xmlns:a16="http://schemas.microsoft.com/office/drawing/2014/main" id="{40C9C21F-3156-43B5-847A-0AE4E0DC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16" y="116416"/>
          <a:ext cx="910166" cy="1139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3195-6F50-434E-9D8C-19E08B405D00}">
  <sheetPr>
    <pageSetUpPr fitToPage="1"/>
  </sheetPr>
  <dimension ref="A1:CU59"/>
  <sheetViews>
    <sheetView showGridLines="0" tabSelected="1" zoomScale="90" zoomScaleNormal="9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20.42578125" style="21" customWidth="1"/>
    <col min="2" max="2" width="39.5703125" style="21" hidden="1" customWidth="1" outlineLevel="1"/>
    <col min="3" max="3" width="33" style="21" hidden="1" customWidth="1" outlineLevel="1"/>
    <col min="4" max="4" width="55.42578125" style="21" hidden="1" customWidth="1" outlineLevel="1"/>
    <col min="5" max="5" width="23.7109375" style="27" hidden="1" customWidth="1" outlineLevel="1"/>
    <col min="6" max="6" width="31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19.14062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7" width="0" style="21" hidden="1" customWidth="1" outlineLevel="1" collapsed="1"/>
    <col min="98" max="98" width="0" style="21" hidden="1" customWidth="1" outlineLevel="1"/>
    <col min="99" max="99" width="11.42578125" style="21" outlineLevel="1" collapsed="1"/>
    <col min="100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18"/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18"/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2" t="s">
        <v>21</v>
      </c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" t="s">
        <v>22</v>
      </c>
      <c r="G9" s="17"/>
      <c r="H9" s="17"/>
      <c r="I9" s="17"/>
      <c r="J9" s="17"/>
      <c r="K9" s="17"/>
      <c r="L9" s="17"/>
      <c r="M9" s="19"/>
      <c r="N9" s="20"/>
      <c r="O9" s="20"/>
      <c r="P9" s="20"/>
      <c r="Q9" s="20"/>
      <c r="R9" s="20"/>
    </row>
    <row r="10" spans="2:18">
      <c r="E10" s="17"/>
      <c r="F10" s="18"/>
      <c r="G10" s="17"/>
      <c r="H10" s="17"/>
      <c r="I10" s="17"/>
      <c r="J10" s="17"/>
      <c r="K10" s="17"/>
      <c r="L10" s="17"/>
      <c r="M10" s="19"/>
      <c r="N10" s="20"/>
      <c r="O10" s="20"/>
      <c r="P10" s="20"/>
      <c r="Q10" s="20"/>
      <c r="R10" s="20"/>
    </row>
    <row r="11" spans="2:18">
      <c r="E11" s="17"/>
      <c r="F11" s="23" t="s">
        <v>11</v>
      </c>
      <c r="G11" s="24">
        <v>10000</v>
      </c>
      <c r="H11" s="17"/>
      <c r="I11" s="17"/>
      <c r="J11" s="60" t="s">
        <v>0</v>
      </c>
      <c r="K11" s="60"/>
      <c r="L11" s="3">
        <f>+XIRR(L17:L25,F17:F25)</f>
        <v>0.36998693346977241</v>
      </c>
      <c r="M11" s="4"/>
      <c r="N11" s="20"/>
      <c r="O11" s="20"/>
      <c r="P11" s="20"/>
      <c r="Q11" s="20"/>
      <c r="R11" s="20"/>
    </row>
    <row r="12" spans="2:18">
      <c r="E12" s="17"/>
      <c r="F12" s="23" t="s">
        <v>6</v>
      </c>
      <c r="G12" s="25">
        <v>45715</v>
      </c>
      <c r="H12" s="17"/>
      <c r="I12" s="17"/>
      <c r="J12" s="60" t="s">
        <v>17</v>
      </c>
      <c r="K12" s="60"/>
      <c r="L12" s="3">
        <f>+(((1+L11)^(90/365)-1)*(365/90))</f>
        <v>0.32734134019318778</v>
      </c>
      <c r="M12" s="56"/>
      <c r="N12" s="20"/>
      <c r="O12" s="20"/>
      <c r="P12" s="20"/>
      <c r="Q12" s="20"/>
      <c r="R12" s="20"/>
    </row>
    <row r="13" spans="2:18">
      <c r="E13" s="17"/>
      <c r="F13" s="23" t="s">
        <v>19</v>
      </c>
      <c r="G13" s="57">
        <v>4.4999999999999998E-2</v>
      </c>
      <c r="H13" s="17"/>
      <c r="I13" s="17"/>
      <c r="J13" s="60" t="s">
        <v>2</v>
      </c>
      <c r="K13" s="60"/>
      <c r="L13" s="58">
        <f>+SUM(Q18:Q25)/(365/12)</f>
        <v>12.467873104817643</v>
      </c>
      <c r="M13" s="26"/>
      <c r="N13" s="20"/>
      <c r="O13" s="20"/>
      <c r="P13" s="20"/>
      <c r="Q13" s="20"/>
      <c r="R13" s="20"/>
    </row>
    <row r="14" spans="2:18">
      <c r="E14" s="17"/>
      <c r="F14" s="23" t="s">
        <v>20</v>
      </c>
      <c r="G14" s="57">
        <v>0.28249999999999997</v>
      </c>
      <c r="H14" s="30"/>
      <c r="I14" s="22"/>
      <c r="J14" s="60" t="s">
        <v>8</v>
      </c>
      <c r="K14" s="60"/>
      <c r="L14" s="3">
        <f>+N29/G17</f>
        <v>1.0000000028355747</v>
      </c>
      <c r="M14" s="28"/>
      <c r="N14" s="29"/>
      <c r="O14" s="20"/>
      <c r="P14" s="20"/>
      <c r="Q14" s="20"/>
      <c r="R14" s="20"/>
    </row>
    <row r="15" spans="2:18" ht="15.75" thickBot="1">
      <c r="E15" s="17"/>
      <c r="F15" s="18"/>
      <c r="G15" s="17"/>
      <c r="H15" s="17"/>
      <c r="I15" s="17"/>
      <c r="J15" s="17"/>
      <c r="K15" s="17"/>
      <c r="L15" s="17"/>
      <c r="M15" s="31"/>
      <c r="N15" s="29"/>
      <c r="O15" s="20"/>
      <c r="P15" s="20"/>
      <c r="Q15" s="20"/>
      <c r="R15" s="20"/>
    </row>
    <row r="16" spans="2:18" s="33" customFormat="1" ht="28.5" customHeight="1" thickBot="1">
      <c r="B16" s="34"/>
      <c r="C16" s="34" t="s">
        <v>7</v>
      </c>
      <c r="D16" s="34"/>
      <c r="E16" s="35"/>
      <c r="F16" s="47" t="s">
        <v>3</v>
      </c>
      <c r="G16" s="50" t="s">
        <v>12</v>
      </c>
      <c r="H16" s="50" t="s">
        <v>4</v>
      </c>
      <c r="I16" s="50" t="s">
        <v>13</v>
      </c>
      <c r="J16" s="50" t="s">
        <v>14</v>
      </c>
      <c r="K16" s="50" t="s">
        <v>15</v>
      </c>
      <c r="L16" s="51" t="s">
        <v>16</v>
      </c>
      <c r="M16" s="36"/>
      <c r="N16" s="5" t="s">
        <v>1</v>
      </c>
      <c r="O16" s="5" t="s">
        <v>5</v>
      </c>
      <c r="P16" s="6"/>
      <c r="Q16" s="5" t="s">
        <v>9</v>
      </c>
      <c r="R16" s="37"/>
    </row>
    <row r="17" spans="2:18">
      <c r="B17" s="7">
        <f>+D17</f>
        <v>45715</v>
      </c>
      <c r="C17" s="52">
        <f>+$G$13+$G$14</f>
        <v>0.32749999999999996</v>
      </c>
      <c r="D17" s="7">
        <f>+G12</f>
        <v>45715</v>
      </c>
      <c r="E17" s="40"/>
      <c r="F17" s="8">
        <f>+G12</f>
        <v>45715</v>
      </c>
      <c r="G17" s="49">
        <f>+G11</f>
        <v>10000</v>
      </c>
      <c r="H17" s="45"/>
      <c r="I17" s="44"/>
      <c r="J17" s="44"/>
      <c r="K17" s="49">
        <f t="shared" ref="K17:K18" si="0">+G17-J17</f>
        <v>10000</v>
      </c>
      <c r="L17" s="46">
        <f>-G17</f>
        <v>-10000</v>
      </c>
      <c r="M17" s="41"/>
      <c r="N17" s="9"/>
      <c r="O17" s="9"/>
      <c r="P17" s="1"/>
      <c r="Q17" s="1"/>
      <c r="R17" s="20"/>
    </row>
    <row r="18" spans="2:18">
      <c r="B18" s="7">
        <f>DATE(YEAR(B17), MONTH(B17)+3, DAY(B17))</f>
        <v>45804</v>
      </c>
      <c r="C18" s="52">
        <f t="shared" ref="C18:C25" si="1">+$G$13+$G$14</f>
        <v>0.32749999999999996</v>
      </c>
      <c r="D18" s="10">
        <f>+B18</f>
        <v>45804</v>
      </c>
      <c r="E18" s="40"/>
      <c r="F18" s="11">
        <f t="shared" ref="F18" si="2">+D18</f>
        <v>45804</v>
      </c>
      <c r="G18" s="49">
        <f>+K17</f>
        <v>10000</v>
      </c>
      <c r="H18" s="48">
        <f>+B18-B17</f>
        <v>89</v>
      </c>
      <c r="I18" s="44">
        <f>+G18*($G$13+$G$14)*(H18)/365</f>
        <v>798.56164383561622</v>
      </c>
      <c r="J18" s="44">
        <v>0</v>
      </c>
      <c r="K18" s="49">
        <f t="shared" si="0"/>
        <v>10000</v>
      </c>
      <c r="L18" s="46">
        <f>+I18+J18</f>
        <v>798.56164383561622</v>
      </c>
      <c r="M18" s="41"/>
      <c r="N18" s="12">
        <f>+L18/(1+$L$11)^((O18)/365)</f>
        <v>739.5577844793529</v>
      </c>
      <c r="O18" s="13">
        <f>+F18-$F$17</f>
        <v>89</v>
      </c>
      <c r="P18" s="1"/>
      <c r="Q18" s="14">
        <f>+(N18/$N$29)*O18</f>
        <v>6.5820642632023061</v>
      </c>
      <c r="R18" s="20"/>
    </row>
    <row r="19" spans="2:18">
      <c r="B19" s="7">
        <f t="shared" ref="B19:B20" si="3">DATE(YEAR(B18), MONTH(B18)+3, DAY(B18))</f>
        <v>45896</v>
      </c>
      <c r="C19" s="52">
        <f t="shared" si="1"/>
        <v>0.32749999999999996</v>
      </c>
      <c r="D19" s="10">
        <f t="shared" ref="D19" si="4">+B19</f>
        <v>45896</v>
      </c>
      <c r="E19" s="40"/>
      <c r="F19" s="11">
        <f t="shared" ref="F19:F20" si="5">+D19</f>
        <v>45896</v>
      </c>
      <c r="G19" s="49">
        <f t="shared" ref="G19:G25" si="6">+K18</f>
        <v>10000</v>
      </c>
      <c r="H19" s="48">
        <f t="shared" ref="H19" si="7">+B19-B18</f>
        <v>92</v>
      </c>
      <c r="I19" s="44">
        <f>+G19*($G$13+$G$14)*(H19)/365</f>
        <v>825.47945205479436</v>
      </c>
      <c r="J19" s="44">
        <f>+$G$17*0.25</f>
        <v>2500</v>
      </c>
      <c r="K19" s="49">
        <f t="shared" ref="K19:K25" si="8">+G19-J19</f>
        <v>7500</v>
      </c>
      <c r="L19" s="46">
        <f>+I19+J19</f>
        <v>3325.4794520547944</v>
      </c>
      <c r="M19" s="41"/>
      <c r="N19" s="12">
        <f t="shared" ref="N19:N25" si="9">+L19/(1+$L$11)^((O19)/365)</f>
        <v>2844.8403849587794</v>
      </c>
      <c r="O19" s="13">
        <f t="shared" ref="O19:O25" si="10">+F19-$F$17</f>
        <v>181</v>
      </c>
      <c r="P19" s="1"/>
      <c r="Q19" s="14">
        <f>+(N19/$N$29)*O19</f>
        <v>51.491610821745589</v>
      </c>
      <c r="R19" s="20"/>
    </row>
    <row r="20" spans="2:18">
      <c r="B20" s="7">
        <f t="shared" si="3"/>
        <v>45988</v>
      </c>
      <c r="C20" s="52">
        <f t="shared" si="1"/>
        <v>0.32749999999999996</v>
      </c>
      <c r="D20" s="10">
        <f>+B20</f>
        <v>45988</v>
      </c>
      <c r="E20" s="40"/>
      <c r="F20" s="11">
        <f t="shared" si="5"/>
        <v>45988</v>
      </c>
      <c r="G20" s="49">
        <f t="shared" si="6"/>
        <v>7500</v>
      </c>
      <c r="H20" s="48">
        <f>+B20-B19</f>
        <v>92</v>
      </c>
      <c r="I20" s="44">
        <f t="shared" ref="I20" si="11">+G20*($G$13+$G$14)*(H20)/365</f>
        <v>619.10958904109577</v>
      </c>
      <c r="J20" s="44">
        <v>0</v>
      </c>
      <c r="K20" s="49">
        <f t="shared" si="8"/>
        <v>7500</v>
      </c>
      <c r="L20" s="46">
        <f>+I20+J20</f>
        <v>619.10958904109577</v>
      </c>
      <c r="M20" s="41"/>
      <c r="N20" s="12">
        <f t="shared" si="9"/>
        <v>489.22780957011099</v>
      </c>
      <c r="O20" s="13">
        <f t="shared" si="10"/>
        <v>273</v>
      </c>
      <c r="P20" s="1"/>
      <c r="Q20" s="14">
        <f t="shared" ref="Q20" si="12">+(N20/$N$29)*O20</f>
        <v>13.355919163392322</v>
      </c>
      <c r="R20" s="20"/>
    </row>
    <row r="21" spans="2:18">
      <c r="B21" s="7">
        <f>DATE(YEAR(B20), MONTH(B20)+3, DAY(B20))</f>
        <v>46080</v>
      </c>
      <c r="C21" s="52">
        <f t="shared" si="1"/>
        <v>0.32749999999999996</v>
      </c>
      <c r="D21" s="10">
        <f>+B21</f>
        <v>46080</v>
      </c>
      <c r="E21" s="40"/>
      <c r="F21" s="11">
        <f>+D21</f>
        <v>46080</v>
      </c>
      <c r="G21" s="49">
        <f>+K20</f>
        <v>7500</v>
      </c>
      <c r="H21" s="48">
        <f>+B21-B20</f>
        <v>92</v>
      </c>
      <c r="I21" s="44">
        <f>+G21*($G$13+$G$14)*(H21)/365</f>
        <v>619.10958904109577</v>
      </c>
      <c r="J21" s="44">
        <f>+$G$17*0.25</f>
        <v>2500</v>
      </c>
      <c r="K21" s="49">
        <f t="shared" si="8"/>
        <v>5000</v>
      </c>
      <c r="L21" s="46">
        <f t="shared" ref="L21:L25" si="13">+I21+J21</f>
        <v>3119.1095890410957</v>
      </c>
      <c r="M21" s="41"/>
      <c r="N21" s="12">
        <f t="shared" si="9"/>
        <v>2276.7440424714941</v>
      </c>
      <c r="O21" s="13">
        <f t="shared" si="10"/>
        <v>365</v>
      </c>
      <c r="P21" s="1"/>
      <c r="Q21" s="14">
        <f>+(N21/$N$29)*O21</f>
        <v>83.101157314569988</v>
      </c>
      <c r="R21" s="20"/>
    </row>
    <row r="22" spans="2:18">
      <c r="B22" s="7">
        <f t="shared" ref="B22:B25" si="14">DATE(YEAR(B21), MONTH(B21)+3, DAY(B21))</f>
        <v>46169</v>
      </c>
      <c r="C22" s="52">
        <f t="shared" si="1"/>
        <v>0.32749999999999996</v>
      </c>
      <c r="D22" s="10">
        <f t="shared" ref="D22:D25" si="15">+B22</f>
        <v>46169</v>
      </c>
      <c r="E22" s="40"/>
      <c r="F22" s="11">
        <f t="shared" ref="F22:F25" si="16">+D22</f>
        <v>46169</v>
      </c>
      <c r="G22" s="49">
        <f t="shared" si="6"/>
        <v>5000</v>
      </c>
      <c r="H22" s="48">
        <f t="shared" ref="H22:H25" si="17">+B22-B21</f>
        <v>89</v>
      </c>
      <c r="I22" s="44">
        <f>+G22*($G$13+$G$14)*(H22)/365</f>
        <v>399.28082191780811</v>
      </c>
      <c r="J22" s="44">
        <v>0</v>
      </c>
      <c r="K22" s="49">
        <f t="shared" si="8"/>
        <v>5000</v>
      </c>
      <c r="L22" s="46">
        <f t="shared" si="13"/>
        <v>399.28082191780811</v>
      </c>
      <c r="M22" s="41"/>
      <c r="N22" s="12">
        <f t="shared" si="9"/>
        <v>269.91417451196827</v>
      </c>
      <c r="O22" s="13">
        <f t="shared" si="10"/>
        <v>454</v>
      </c>
      <c r="P22" s="1"/>
      <c r="Q22" s="14">
        <f t="shared" ref="Q22:Q25" si="18">+(N22/$N$29)*O22</f>
        <v>12.254103488095934</v>
      </c>
      <c r="R22" s="20"/>
    </row>
    <row r="23" spans="2:18">
      <c r="B23" s="7">
        <f t="shared" si="14"/>
        <v>46261</v>
      </c>
      <c r="C23" s="52">
        <f t="shared" si="1"/>
        <v>0.32749999999999996</v>
      </c>
      <c r="D23" s="10">
        <f t="shared" si="15"/>
        <v>46261</v>
      </c>
      <c r="E23" s="40"/>
      <c r="F23" s="11">
        <f t="shared" si="16"/>
        <v>46261</v>
      </c>
      <c r="G23" s="49">
        <f t="shared" si="6"/>
        <v>5000</v>
      </c>
      <c r="H23" s="48">
        <f t="shared" si="17"/>
        <v>92</v>
      </c>
      <c r="I23" s="44">
        <f>+G23*($G$13+$G$14)*(H23)/365</f>
        <v>412.73972602739718</v>
      </c>
      <c r="J23" s="44">
        <f>+$G$17*0.25</f>
        <v>2500</v>
      </c>
      <c r="K23" s="49">
        <f t="shared" si="8"/>
        <v>2500</v>
      </c>
      <c r="L23" s="46">
        <f t="shared" si="13"/>
        <v>2912.7397260273974</v>
      </c>
      <c r="M23" s="41"/>
      <c r="N23" s="12">
        <f t="shared" si="9"/>
        <v>1818.8165187808104</v>
      </c>
      <c r="O23" s="13">
        <f t="shared" si="10"/>
        <v>546</v>
      </c>
      <c r="P23" s="1"/>
      <c r="Q23" s="14">
        <f t="shared" si="18"/>
        <v>99.307381643838738</v>
      </c>
      <c r="R23" s="20"/>
    </row>
    <row r="24" spans="2:18">
      <c r="B24" s="7">
        <f t="shared" si="14"/>
        <v>46353</v>
      </c>
      <c r="C24" s="52">
        <f t="shared" si="1"/>
        <v>0.32749999999999996</v>
      </c>
      <c r="D24" s="10">
        <f t="shared" si="15"/>
        <v>46353</v>
      </c>
      <c r="E24" s="40"/>
      <c r="F24" s="11">
        <f t="shared" si="16"/>
        <v>46353</v>
      </c>
      <c r="G24" s="49">
        <f t="shared" si="6"/>
        <v>2500</v>
      </c>
      <c r="H24" s="48">
        <f t="shared" si="17"/>
        <v>92</v>
      </c>
      <c r="I24" s="44">
        <f>+G24*($G$13+$G$14)*(H24)/365</f>
        <v>206.36986301369859</v>
      </c>
      <c r="J24" s="44">
        <v>0</v>
      </c>
      <c r="K24" s="49">
        <f t="shared" si="8"/>
        <v>2500</v>
      </c>
      <c r="L24" s="46">
        <f t="shared" si="13"/>
        <v>206.36986301369859</v>
      </c>
      <c r="M24" s="41"/>
      <c r="N24" s="12">
        <f t="shared" si="9"/>
        <v>119.03466561563995</v>
      </c>
      <c r="O24" s="13">
        <f t="shared" si="10"/>
        <v>638</v>
      </c>
      <c r="P24" s="1"/>
      <c r="Q24" s="14">
        <f t="shared" si="18"/>
        <v>7.5944116447433068</v>
      </c>
      <c r="R24" s="20"/>
    </row>
    <row r="25" spans="2:18">
      <c r="B25" s="7">
        <f>DATE(YEAR(B24), MONTH(B24)+3, DAY(B24))+2</f>
        <v>46447</v>
      </c>
      <c r="C25" s="52">
        <f t="shared" si="1"/>
        <v>0.32749999999999996</v>
      </c>
      <c r="D25" s="10">
        <f t="shared" si="15"/>
        <v>46447</v>
      </c>
      <c r="E25" s="40"/>
      <c r="F25" s="11">
        <f t="shared" si="16"/>
        <v>46447</v>
      </c>
      <c r="G25" s="49">
        <f t="shared" si="6"/>
        <v>2500</v>
      </c>
      <c r="H25" s="48">
        <f t="shared" si="17"/>
        <v>94</v>
      </c>
      <c r="I25" s="44">
        <f>+G25*($G$13+$G$14)*(H25)/365</f>
        <v>210.85616438356161</v>
      </c>
      <c r="J25" s="44">
        <f>+$G$17*0.25</f>
        <v>2500</v>
      </c>
      <c r="K25" s="49">
        <f t="shared" si="8"/>
        <v>0</v>
      </c>
      <c r="L25" s="46">
        <f t="shared" si="13"/>
        <v>2710.8561643835615</v>
      </c>
      <c r="M25" s="41"/>
      <c r="N25" s="12">
        <f t="shared" si="9"/>
        <v>1441.8646479675922</v>
      </c>
      <c r="O25" s="13">
        <f t="shared" si="10"/>
        <v>732</v>
      </c>
      <c r="P25" s="1"/>
      <c r="Q25" s="14">
        <f t="shared" si="18"/>
        <v>105.54449193194846</v>
      </c>
      <c r="R25" s="20"/>
    </row>
    <row r="26" spans="2:18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12"/>
      <c r="O26" s="13"/>
      <c r="P26" s="1"/>
      <c r="Q26" s="14"/>
      <c r="R26" s="20"/>
    </row>
    <row r="27" spans="2:18">
      <c r="B27" s="7"/>
      <c r="C27" s="38"/>
      <c r="D27" s="10"/>
      <c r="E27" s="40"/>
      <c r="F27" s="11"/>
      <c r="G27" s="49"/>
      <c r="H27" s="48"/>
      <c r="I27" s="44"/>
      <c r="J27" s="49"/>
      <c r="K27" s="49"/>
      <c r="L27" s="46"/>
      <c r="M27" s="41"/>
      <c r="N27" s="12"/>
      <c r="O27" s="13"/>
      <c r="P27" s="1"/>
      <c r="Q27" s="14"/>
      <c r="R27" s="20"/>
    </row>
    <row r="28" spans="2:18" ht="15.75" thickBot="1">
      <c r="B28" s="7"/>
      <c r="C28" s="38"/>
      <c r="D28" s="10"/>
      <c r="E28" s="40"/>
      <c r="F28" s="11"/>
      <c r="G28" s="49"/>
      <c r="H28" s="48"/>
      <c r="I28" s="44"/>
      <c r="J28" s="49"/>
      <c r="K28" s="49"/>
      <c r="L28" s="46"/>
      <c r="M28" s="41"/>
      <c r="N28" s="12"/>
      <c r="O28" s="13"/>
      <c r="P28" s="1"/>
      <c r="Q28" s="14"/>
      <c r="R28" s="20"/>
    </row>
    <row r="29" spans="2:18" ht="15.75" thickBot="1">
      <c r="B29" s="39"/>
      <c r="C29" s="38"/>
      <c r="D29" s="39"/>
      <c r="E29" s="17"/>
      <c r="F29" s="61" t="s">
        <v>10</v>
      </c>
      <c r="G29" s="62"/>
      <c r="H29" s="62"/>
      <c r="I29" s="53">
        <f>SUM(I18:I25)</f>
        <v>4091.5068493150679</v>
      </c>
      <c r="J29" s="54">
        <f>SUM(J18:J25)</f>
        <v>10000</v>
      </c>
      <c r="K29" s="53"/>
      <c r="L29" s="55">
        <f>SUM(L17:L25)</f>
        <v>4091.5068493150679</v>
      </c>
      <c r="M29" s="42"/>
      <c r="N29" s="15">
        <f>SUM(N18:N25)</f>
        <v>10000.000028355747</v>
      </c>
      <c r="O29" s="1"/>
      <c r="P29" s="1"/>
      <c r="Q29" s="1"/>
      <c r="R29" s="20"/>
    </row>
    <row r="30" spans="2:18">
      <c r="E30" s="17"/>
      <c r="F30" s="18"/>
      <c r="G30" s="17"/>
      <c r="H30" s="17"/>
      <c r="I30" s="17"/>
      <c r="J30" s="17"/>
      <c r="K30" s="17"/>
      <c r="L30" s="17"/>
      <c r="M30" s="19"/>
      <c r="N30" s="20"/>
      <c r="O30" s="20"/>
      <c r="P30" s="20"/>
      <c r="Q30" s="20"/>
      <c r="R30" s="20"/>
    </row>
    <row r="31" spans="2:18">
      <c r="E31" s="17"/>
      <c r="F31" s="17"/>
      <c r="G31" s="17"/>
      <c r="H31" s="17"/>
      <c r="I31" s="17"/>
      <c r="J31" s="17"/>
      <c r="K31" s="17"/>
      <c r="L31" s="17"/>
      <c r="M31" s="19"/>
      <c r="N31" s="20"/>
      <c r="O31" s="20"/>
      <c r="P31" s="20"/>
      <c r="Q31" s="20"/>
      <c r="R31" s="20"/>
    </row>
    <row r="32" spans="2:18" s="1" customFormat="1" ht="26.25" customHeight="1">
      <c r="E32" s="16"/>
      <c r="F32" s="59" t="s">
        <v>18</v>
      </c>
      <c r="G32" s="59"/>
      <c r="H32" s="59"/>
      <c r="I32" s="59"/>
      <c r="J32" s="59"/>
      <c r="K32" s="59"/>
      <c r="L32" s="59"/>
    </row>
    <row r="33" spans="5:18" s="1" customFormat="1" ht="26.25" customHeight="1">
      <c r="E33" s="16"/>
      <c r="F33" s="59"/>
      <c r="G33" s="59"/>
      <c r="H33" s="59"/>
      <c r="I33" s="59"/>
      <c r="J33" s="59"/>
      <c r="K33" s="59"/>
      <c r="L33" s="59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>
      <c r="E39" s="17"/>
      <c r="F39" s="18"/>
      <c r="G39" s="17"/>
      <c r="H39" s="17"/>
      <c r="I39" s="17"/>
      <c r="J39" s="17"/>
      <c r="K39" s="17"/>
      <c r="L39" s="17"/>
      <c r="M39" s="19"/>
      <c r="N39" s="20"/>
      <c r="O39" s="20"/>
      <c r="P39" s="20"/>
      <c r="Q39" s="20"/>
      <c r="R39" s="20"/>
    </row>
    <row r="40" spans="5:18">
      <c r="E40" s="17"/>
      <c r="F40" s="18"/>
      <c r="G40" s="17"/>
      <c r="H40" s="17"/>
      <c r="I40" s="17"/>
      <c r="J40" s="17"/>
      <c r="K40" s="17"/>
      <c r="L40" s="17"/>
      <c r="M40" s="19"/>
      <c r="N40" s="20"/>
      <c r="O40" s="20"/>
      <c r="P40" s="20"/>
      <c r="Q40" s="20"/>
      <c r="R40" s="20"/>
    </row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sheetProtection algorithmName="SHA-512" hashValue="lQyAWmMJPNObQeuVAFBh1Qe+h1HouKllrYiQdRqtOQOFgHXtIqF8e6TaVwukjhhyjmqGiiG7p66wTLsTfFq6xg==" saltValue="UtZ/0ZnvrCLXkwydQuwRyA==" spinCount="100000" sheet="1" selectLockedCells="1"/>
  <mergeCells count="6">
    <mergeCell ref="F32:L33"/>
    <mergeCell ref="J11:K11"/>
    <mergeCell ref="J12:K12"/>
    <mergeCell ref="J13:K13"/>
    <mergeCell ref="J14:K14"/>
    <mergeCell ref="F29:H29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I</vt:lpstr>
      <vt:lpstr>'Serie I'!Área_de_impresión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2025-02-25T13:49:33Z</dcterms:modified>
</cp:coreProperties>
</file>