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Goldmund SA\"/>
    </mc:Choice>
  </mc:AlternateContent>
  <xr:revisionPtr revIDLastSave="0" documentId="13_ncr:1_{5DEC3D5C-E5CD-471B-A6E6-6D0B471581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Los Goldmund S.A." sheetId="12" r:id="rId1"/>
  </sheets>
  <definedNames>
    <definedName name="_xlnm.Print_Area" localSheetId="0">'ON Los Goldmund S.A.'!$A$6:$P$22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2" l="1"/>
  <c r="F23" i="12" s="1"/>
  <c r="D22" i="12"/>
  <c r="F22" i="12" s="1"/>
  <c r="D21" i="12"/>
  <c r="F21" i="12" s="1"/>
  <c r="D20" i="12"/>
  <c r="F20" i="12" s="1"/>
  <c r="D19" i="12"/>
  <c r="H20" i="12" s="1"/>
  <c r="D17" i="12"/>
  <c r="C23" i="12"/>
  <c r="C21" i="12"/>
  <c r="C20" i="12"/>
  <c r="C19" i="12"/>
  <c r="C17" i="12"/>
  <c r="C16" i="12"/>
  <c r="J20" i="12"/>
  <c r="O23" i="12" l="1"/>
  <c r="H23" i="12"/>
  <c r="H21" i="12"/>
  <c r="H22" i="12"/>
  <c r="F19" i="12"/>
  <c r="F17" i="12"/>
  <c r="J24" i="12"/>
  <c r="J22" i="12"/>
  <c r="D24" i="12"/>
  <c r="F24" i="12" s="1"/>
  <c r="D16" i="12"/>
  <c r="B16" i="12" s="1"/>
  <c r="F16" i="12"/>
  <c r="O20" i="12" s="1"/>
  <c r="C24" i="12"/>
  <c r="C22" i="12"/>
  <c r="O22" i="12" l="1"/>
  <c r="O17" i="12"/>
  <c r="O21" i="12"/>
  <c r="O24" i="12"/>
  <c r="O19" i="12"/>
  <c r="H17" i="12"/>
  <c r="J28" i="12"/>
  <c r="H24" i="12"/>
  <c r="G16" i="12"/>
  <c r="L16" i="12" s="1"/>
  <c r="D18" i="12"/>
  <c r="C18" i="12"/>
  <c r="H19" i="12" l="1"/>
  <c r="F18" i="12"/>
  <c r="O18" i="12" s="1"/>
  <c r="H18" i="12"/>
  <c r="K16" i="12"/>
  <c r="G17" i="12" l="1"/>
  <c r="K17" i="12" l="1"/>
  <c r="G18" i="12" s="1"/>
  <c r="I17" i="12"/>
  <c r="L17" i="12" s="1"/>
  <c r="K18" i="12" l="1"/>
  <c r="G19" i="12" s="1"/>
  <c r="I18" i="12"/>
  <c r="L18" i="12" s="1"/>
  <c r="I19" i="12" l="1"/>
  <c r="L19" i="12" s="1"/>
  <c r="K19" i="12"/>
  <c r="G20" i="12" s="1"/>
  <c r="I20" i="12" l="1"/>
  <c r="L20" i="12" s="1"/>
  <c r="K20" i="12"/>
  <c r="G21" i="12" s="1"/>
  <c r="I21" i="12" l="1"/>
  <c r="K21" i="12"/>
  <c r="G22" i="12" s="1"/>
  <c r="I22" i="12" l="1"/>
  <c r="L22" i="12" s="1"/>
  <c r="K22" i="12"/>
  <c r="L21" i="12"/>
  <c r="G23" i="12" l="1"/>
  <c r="G24" i="12"/>
  <c r="K24" i="12" l="1"/>
  <c r="I24" i="12"/>
  <c r="L24" i="12" s="1"/>
  <c r="I23" i="12"/>
  <c r="K23" i="12"/>
  <c r="L23" i="12" l="1"/>
  <c r="I28" i="12"/>
  <c r="L10" i="12"/>
  <c r="L11" i="12" s="1"/>
  <c r="N24" i="12" l="1"/>
  <c r="N17" i="12"/>
  <c r="N19" i="12"/>
  <c r="N18" i="12"/>
  <c r="N20" i="12"/>
  <c r="N22" i="12"/>
  <c r="N21" i="12"/>
  <c r="N23" i="12"/>
  <c r="L28" i="12"/>
  <c r="N28" i="12" l="1"/>
  <c r="Q17" i="12"/>
  <c r="Q19" i="12"/>
  <c r="Q21" i="12"/>
  <c r="Q22" i="12"/>
  <c r="Q20" i="12"/>
  <c r="Q23" i="12"/>
  <c r="Q18" i="12"/>
  <c r="L13" i="12" l="1"/>
  <c r="Q24" i="12"/>
  <c r="L12" i="12" s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<sst xmlns="http://schemas.openxmlformats.org/spreadsheetml/2006/main" count="23" uniqueCount="23">
  <si>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</si>
  <si>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</si>
  <si>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</si>
  <si>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</si>
  <si>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</si>
  <si>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</si>
  <si>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</si>
  <si>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</si>
  <si>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</si>
  <si>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</si>
  <si>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</si>
  <si>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</si>
  <si>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Margen a Licitar</t>
  </si>
  <si>
    <t>Capital (AR$)</t>
  </si>
  <si>
    <t>Intereses (AR$)</t>
  </si>
  <si>
    <t>Amortización (AR$)</t>
  </si>
  <si>
    <t>Capital Residual (AR$)</t>
  </si>
  <si>
    <t>Flujo (AR$)</t>
  </si>
  <si>
    <t>Badlar Proyectada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</si>
  <si>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</si>
  <si>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Pesos Badlar - 24 meses</t>
  </si>
  <si>
    <t xml:space="preserve">Obligaciones Negociables PyME CNV Garantizada Goldmund S.A. Serie I </t>
  </si>
  <si>
    <t>TNA (90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</si>
</sst>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9" fillId="6" borderId="7" xfId="3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2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0" fontId="8" fillId="3" borderId="2" xfId="1" applyNumberFormat="1" applyFont="1" applyFill="1" applyBorder="1" applyProtection="1">
      <protection locked="0" hidden="1"/>
    </xf>
    <xf numFmtId="171" fontId="9" fillId="6" borderId="6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7" xfId="3" applyNumberFormat="1" applyFont="1" applyFill="1" applyBorder="1" applyAlignment="1" applyProtection="1">
      <alignment horizontal="center" vertical="center" wrapText="1"/>
      <protection hidden="1"/>
    </xf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9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9" fillId="6" borderId="6" xfId="3" applyNumberFormat="1" applyFont="1" applyFill="1" applyBorder="1" applyAlignment="1" applyProtection="1">
      <alignment horizontal="center" vertical="center" wrapText="1"/>
      <protection hidden="1"/>
    </xf>
    <xf numFmtId="174" fontId="5" fillId="2" borderId="0" xfId="4" applyNumberFormat="1" applyFont="1" applyFill="1" applyProtection="1"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0" fontId="9" fillId="6" borderId="11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523641</xdr:colOff>
      <xdr:row>2</xdr:row>
      <xdr:rowOff>178594</xdr:rowOff>
    </xdr:from>
    <xdr:to>
      <xdr:col>11</xdr:col>
      <xdr:colOff>124061</xdr:colOff>
      <xdr:row>5</xdr:row>
      <xdr:rowOff>43656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3047" y="559594"/>
          <a:ext cx="1243483" cy="436562"/>
        </a:xfrm>
        <a:prstGeom prst="rect">
          <a:avLst/>
        </a:prstGeom>
      </xdr:spPr>
    </xdr:pic>
    <xdr:clientData/>
  </xdr:twoCellAnchor>
  <xdr:twoCellAnchor editAs="oneCell">
    <xdr:from>
      <xdr:col>5</xdr:col>
      <xdr:colOff>59531</xdr:colOff>
      <xdr:row>2</xdr:row>
      <xdr:rowOff>47625</xdr:rowOff>
    </xdr:from>
    <xdr:to>
      <xdr:col>5</xdr:col>
      <xdr:colOff>2036409</xdr:colOff>
      <xdr:row>4</xdr:row>
      <xdr:rowOff>151930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E573CB-D568-4BF8-B09F-A8798FE646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699" t="27500" r="11352" b="26666"/>
        <a:stretch/>
      </xdr:blipFill>
      <xdr:spPr>
        <a:xfrm>
          <a:off x="1381125" y="428625"/>
          <a:ext cx="1976878" cy="485305"/>
        </a:xfrm>
        <a:prstGeom prst="rect">
          <a:avLst/>
        </a:prstGeom>
      </xdr:spPr>
    </xdr:pic>
    <xdr:clientData/>
  </xdr:twoCellAnchor>
  <xdr:twoCellAnchor editAs="oneCell">
    <xdr:from>
      <xdr:col>5</xdr:col>
      <xdr:colOff>2071687</xdr:colOff>
      <xdr:row>2</xdr:row>
      <xdr:rowOff>23812</xdr:rowOff>
    </xdr:from>
    <xdr:to>
      <xdr:col>7</xdr:col>
      <xdr:colOff>12479</xdr:colOff>
      <xdr:row>4</xdr:row>
      <xdr:rowOff>66147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383A6E-9CE8-4533-BCF1-ACFD28499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93281" y="404812"/>
          <a:ext cx="1762698" cy="42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N54"/>
  <sheetViews>
    <sheetView showGridLines="0" tabSelected="1" topLeftCell="F3" zoomScale="80" zoomScaleNormal="80" workbookViewId="0">
      <selection activeCell="G12" sqref="G12"/>
    </sheetView>
  </sheetViews>
  <sheetFormatPr baseColWidth="10" defaultColWidth="11.42578125" defaultRowHeight="15" customHeight="1" zeroHeight="1" outlineLevelCol="1"/>
  <cols>
    <col min="1" max="1" width="16.5703125" style="22" hidden="1" customWidth="1"/>
    <col min="2" max="2" width="38.7109375" style="22" hidden="1" customWidth="1" outlineLevel="1"/>
    <col min="3" max="3" width="16" style="22" hidden="1" customWidth="1" outlineLevel="1"/>
    <col min="4" max="4" width="38.7109375" style="22" hidden="1" customWidth="1" outlineLevel="1"/>
    <col min="5" max="5" width="19.85546875" style="29" hidden="1" customWidth="1" outlineLevel="1"/>
    <col min="6" max="6" width="40.140625" style="45" customWidth="1" collapsed="1"/>
    <col min="7" max="7" width="17.140625" style="29" customWidth="1"/>
    <col min="8" max="8" width="13.7109375" style="29" bestFit="1" customWidth="1"/>
    <col min="9" max="9" width="18.140625" style="29" customWidth="1"/>
    <col min="10" max="10" width="18.5703125" style="29" bestFit="1" customWidth="1"/>
    <col min="11" max="11" width="24.7109375" style="29" customWidth="1"/>
    <col min="12" max="12" width="19.42578125" style="29" customWidth="1"/>
    <col min="13" max="13" width="19.7109375" style="34" customWidth="1"/>
    <col min="14" max="14" width="9.28515625" style="22" hidden="1" customWidth="1" outlineLevel="1"/>
    <col min="15" max="15" width="11" style="22" hidden="1" customWidth="1" outlineLevel="1"/>
    <col min="16" max="16" width="19.7109375" style="22" hidden="1" customWidth="1" outlineLevel="1"/>
    <col min="17" max="17" width="9.85546875" style="22" hidden="1" customWidth="1" outlineLevel="1"/>
    <col min="18" max="18" width="19.7109375" style="22" customWidth="1" collapsed="1"/>
    <col min="19" max="19" width="19.7109375" style="22" customWidth="1"/>
    <col min="20" max="88" width="11.42578125" style="22" customWidth="1"/>
    <col min="89" max="90" width="11.42578125" style="22"/>
    <col min="91" max="91" width="0" style="22" hidden="1" customWidth="1" outlineLevel="1"/>
    <col min="92" max="92" width="11.42578125" style="22" outlineLevel="1" collapsed="1"/>
    <col min="93" max="16384" width="11.42578125" style="22" outlineLevel="1"/>
  </cols>
  <sheetData>
    <row r="1" spans="2:18" ht="15" customHeight="1"/>
    <row r="2" spans="2:18" ht="15" customHeight="1"/>
    <row r="3" spans="2:18">
      <c r="E3" s="18"/>
      <c r="F3" s="19"/>
      <c r="G3" s="18"/>
      <c r="H3" s="18"/>
      <c r="I3" s="18"/>
      <c r="J3" s="18"/>
      <c r="K3" s="18"/>
      <c r="L3" s="18"/>
      <c r="M3" s="20"/>
      <c r="N3" s="21"/>
      <c r="O3" s="21"/>
      <c r="P3" s="21"/>
      <c r="Q3" s="21"/>
      <c r="R3" s="21"/>
    </row>
    <row r="4" spans="2:18">
      <c r="E4" s="18"/>
      <c r="F4" s="19"/>
      <c r="G4" s="18"/>
      <c r="H4" s="18"/>
      <c r="I4" s="18"/>
      <c r="J4" s="18"/>
      <c r="K4" s="18"/>
      <c r="L4" s="18"/>
      <c r="M4" s="20"/>
      <c r="N4" s="21"/>
      <c r="O4" s="21"/>
      <c r="P4" s="21"/>
      <c r="Q4" s="21"/>
      <c r="R4" s="21"/>
    </row>
    <row r="5" spans="2:18">
      <c r="E5" s="18"/>
      <c r="F5" s="19"/>
      <c r="G5" s="18"/>
      <c r="H5" s="18"/>
      <c r="I5" s="18"/>
      <c r="J5" s="18"/>
      <c r="K5" s="18"/>
      <c r="L5" s="18"/>
      <c r="M5" s="20"/>
      <c r="N5" s="21"/>
      <c r="O5" s="21"/>
      <c r="P5" s="21"/>
      <c r="Q5" s="21"/>
      <c r="R5" s="21"/>
    </row>
    <row r="6" spans="2:18">
      <c r="E6" s="18"/>
      <c r="F6" s="19"/>
      <c r="G6" s="18"/>
      <c r="H6" s="18"/>
      <c r="I6" s="18"/>
      <c r="J6" s="18"/>
      <c r="K6" s="18"/>
      <c r="L6" s="18"/>
      <c r="M6" s="20"/>
      <c r="N6" s="21"/>
      <c r="O6" s="21"/>
      <c r="P6" s="21"/>
      <c r="Q6" s="21"/>
      <c r="R6" s="21"/>
    </row>
    <row r="7" spans="2:18">
      <c r="E7" s="18"/>
      <c r="F7" s="2" t="s">
        <v>21</v>
      </c>
      <c r="G7" s="18"/>
      <c r="H7" s="18"/>
      <c r="I7" s="18"/>
      <c r="J7" s="18"/>
      <c r="K7" s="18"/>
      <c r="L7" s="18"/>
      <c r="M7" s="20"/>
      <c r="N7" s="21"/>
      <c r="O7" s="21"/>
      <c r="P7" s="21"/>
      <c r="Q7" s="21"/>
      <c r="R7" s="21"/>
    </row>
    <row r="8" spans="2:18">
      <c r="E8" s="18"/>
      <c r="F8" s="2" t="s">
        <v>20</v>
      </c>
      <c r="G8" s="18"/>
      <c r="H8" s="18"/>
      <c r="I8" s="18"/>
      <c r="J8" s="18"/>
      <c r="K8" s="18"/>
      <c r="L8" s="18"/>
      <c r="M8" s="20"/>
      <c r="N8" s="21"/>
      <c r="O8" s="21"/>
      <c r="P8" s="21"/>
      <c r="Q8" s="21"/>
      <c r="R8" s="21"/>
    </row>
    <row r="9" spans="2:18">
      <c r="E9" s="18"/>
      <c r="F9" s="19"/>
      <c r="G9" s="18"/>
      <c r="H9" s="18"/>
      <c r="I9" s="18"/>
      <c r="J9" s="18"/>
      <c r="K9" s="18"/>
      <c r="L9" s="18"/>
      <c r="M9" s="20"/>
      <c r="N9" s="21"/>
      <c r="O9" s="21"/>
      <c r="P9" s="21"/>
      <c r="Q9" s="21"/>
      <c r="R9" s="21"/>
    </row>
    <row r="10" spans="2:18">
      <c r="E10" s="18"/>
      <c r="F10" s="24" t="s">
        <v>11</v>
      </c>
      <c r="G10" s="25">
        <v>10000</v>
      </c>
      <c r="H10" s="18"/>
      <c r="I10" s="18"/>
      <c r="J10" s="58" t="s">
        <v>0</v>
      </c>
      <c r="K10" s="58"/>
      <c r="L10" s="3">
        <f>+XIRR(L16:L24,F16:F24)</f>
        <v>0.49082515835762019</v>
      </c>
      <c r="M10" s="4"/>
      <c r="N10" s="21"/>
      <c r="O10" s="21"/>
      <c r="P10" s="21"/>
      <c r="Q10" s="21"/>
      <c r="R10" s="21"/>
    </row>
    <row r="11" spans="2:18">
      <c r="E11" s="18"/>
      <c r="F11" s="24" t="s">
        <v>6</v>
      </c>
      <c r="G11" s="26">
        <v>45470</v>
      </c>
      <c r="H11" s="18"/>
      <c r="I11" s="18"/>
      <c r="J11" s="58" t="s">
        <v>22</v>
      </c>
      <c r="K11" s="58"/>
      <c r="L11" s="3">
        <f>+NOMINAL(L10,4)</f>
        <v>0.41994300926828743</v>
      </c>
      <c r="M11" s="27"/>
      <c r="N11" s="21"/>
      <c r="O11" s="21"/>
      <c r="P11" s="21"/>
      <c r="Q11" s="21"/>
      <c r="R11" s="21"/>
    </row>
    <row r="12" spans="2:18">
      <c r="E12" s="18"/>
      <c r="F12" s="24" t="s">
        <v>18</v>
      </c>
      <c r="G12" s="54">
        <v>0.34499999999999997</v>
      </c>
      <c r="H12" s="18"/>
      <c r="I12" s="18"/>
      <c r="J12" s="58" t="s">
        <v>2</v>
      </c>
      <c r="K12" s="58"/>
      <c r="L12" s="28">
        <f>+SUM(Q17:Q24)/(365/12)</f>
        <v>14.059259246192934</v>
      </c>
      <c r="M12" s="27"/>
      <c r="N12" s="21"/>
      <c r="O12" s="21"/>
      <c r="P12" s="21"/>
      <c r="Q12" s="21"/>
      <c r="R12" s="21"/>
    </row>
    <row r="13" spans="2:18">
      <c r="E13" s="18"/>
      <c r="F13" s="24" t="s">
        <v>12</v>
      </c>
      <c r="G13" s="46">
        <v>7.4999999999999997E-2</v>
      </c>
      <c r="H13" s="32"/>
      <c r="I13" s="23"/>
      <c r="J13" s="58" t="s">
        <v>8</v>
      </c>
      <c r="K13" s="58"/>
      <c r="L13" s="3">
        <f>+N28/G16</f>
        <v>0.99999999804997008</v>
      </c>
      <c r="M13" s="30"/>
      <c r="N13" s="31"/>
      <c r="O13" s="21"/>
      <c r="P13" s="21"/>
      <c r="Q13" s="21"/>
      <c r="R13" s="21"/>
    </row>
    <row r="14" spans="2:18" ht="15.75" thickBot="1">
      <c r="E14" s="18"/>
      <c r="F14" s="19"/>
      <c r="G14" s="18"/>
      <c r="H14" s="18"/>
      <c r="I14" s="18"/>
      <c r="J14" s="18"/>
      <c r="K14" s="18"/>
      <c r="L14" s="18"/>
      <c r="M14" s="33"/>
      <c r="N14" s="31"/>
      <c r="O14" s="21"/>
      <c r="P14" s="21"/>
      <c r="Q14" s="21"/>
      <c r="R14" s="21"/>
    </row>
    <row r="15" spans="2:18" s="35" customFormat="1" ht="28.5" customHeight="1" thickBot="1">
      <c r="B15" s="36"/>
      <c r="C15" s="36" t="s">
        <v>7</v>
      </c>
      <c r="D15" s="36"/>
      <c r="E15" s="37"/>
      <c r="F15" s="52" t="s">
        <v>3</v>
      </c>
      <c r="G15" s="52" t="s">
        <v>13</v>
      </c>
      <c r="H15" s="52" t="s">
        <v>4</v>
      </c>
      <c r="I15" s="52" t="s">
        <v>14</v>
      </c>
      <c r="J15" s="52" t="s">
        <v>15</v>
      </c>
      <c r="K15" s="52" t="s">
        <v>16</v>
      </c>
      <c r="L15" s="5" t="s">
        <v>17</v>
      </c>
      <c r="M15" s="38"/>
      <c r="N15" s="6" t="s">
        <v>1</v>
      </c>
      <c r="O15" s="6" t="s">
        <v>5</v>
      </c>
      <c r="P15" s="7"/>
      <c r="Q15" s="6" t="s">
        <v>9</v>
      </c>
      <c r="R15" s="39"/>
    </row>
    <row r="16" spans="2:18">
      <c r="B16" s="8">
        <f>+D16</f>
        <v>45470</v>
      </c>
      <c r="C16" s="40">
        <f>+$G$12+$G$13</f>
        <v>0.42</v>
      </c>
      <c r="D16" s="8">
        <f>+G11</f>
        <v>45470</v>
      </c>
      <c r="E16" s="42"/>
      <c r="F16" s="9">
        <f>+G11</f>
        <v>45470</v>
      </c>
      <c r="G16" s="56">
        <f>+G10</f>
        <v>10000</v>
      </c>
      <c r="H16" s="50"/>
      <c r="I16" s="49"/>
      <c r="J16" s="49"/>
      <c r="K16" s="56">
        <f t="shared" ref="K16:K17" si="0">+G16-J16</f>
        <v>10000</v>
      </c>
      <c r="L16" s="51">
        <f>-G16</f>
        <v>-10000</v>
      </c>
      <c r="M16" s="43"/>
      <c r="N16" s="10"/>
      <c r="O16" s="10"/>
      <c r="P16" s="1"/>
      <c r="Q16" s="1"/>
      <c r="R16" s="21"/>
    </row>
    <row r="17" spans="2:18">
      <c r="B17" s="8">
        <v>45562</v>
      </c>
      <c r="C17" s="40">
        <f t="shared" ref="C17:C24" si="1">+$G$12+$G$13</f>
        <v>0.42</v>
      </c>
      <c r="D17" s="11">
        <f t="shared" ref="D17" si="2">+B17</f>
        <v>45562</v>
      </c>
      <c r="E17" s="42"/>
      <c r="F17" s="12">
        <f t="shared" ref="F17" si="3">+D17</f>
        <v>45562</v>
      </c>
      <c r="G17" s="56">
        <f>+K16</f>
        <v>10000</v>
      </c>
      <c r="H17" s="53">
        <f t="shared" ref="H17:H24" si="4">+D17-D16</f>
        <v>92</v>
      </c>
      <c r="I17" s="49">
        <f>+G17*($G$12+$G$13)*(H17)/365</f>
        <v>1058.6301369863013</v>
      </c>
      <c r="J17" s="49"/>
      <c r="K17" s="56">
        <f t="shared" si="0"/>
        <v>10000</v>
      </c>
      <c r="L17" s="51">
        <f>+I17+J17</f>
        <v>1058.6301369863013</v>
      </c>
      <c r="M17" s="43"/>
      <c r="N17" s="13">
        <f>+L17/(1+$L$10)^((O17)/365)</f>
        <v>957.26288056821534</v>
      </c>
      <c r="O17" s="14">
        <f t="shared" ref="O17:O24" si="5">+F17-$F$16</f>
        <v>92</v>
      </c>
      <c r="P17" s="1"/>
      <c r="Q17" s="15">
        <f t="shared" ref="Q17:Q24" si="6">+(N17/$N$28)*O17</f>
        <v>8.8068185184011405</v>
      </c>
      <c r="R17" s="21"/>
    </row>
    <row r="18" spans="2:18">
      <c r="B18" s="8">
        <v>45653</v>
      </c>
      <c r="C18" s="40">
        <f t="shared" si="1"/>
        <v>0.42</v>
      </c>
      <c r="D18" s="11">
        <f>+B18</f>
        <v>45653</v>
      </c>
      <c r="E18" s="42"/>
      <c r="F18" s="12">
        <f>+D18</f>
        <v>45653</v>
      </c>
      <c r="G18" s="56">
        <f>+K17</f>
        <v>10000</v>
      </c>
      <c r="H18" s="53">
        <f t="shared" si="4"/>
        <v>91</v>
      </c>
      <c r="I18" s="49">
        <f>+G18*($G$12+$G$13)*(H18)/365</f>
        <v>1047.1232876712329</v>
      </c>
      <c r="J18" s="49"/>
      <c r="K18" s="56">
        <f>+G18-J18</f>
        <v>10000</v>
      </c>
      <c r="L18" s="51">
        <f>+I18+J18</f>
        <v>1047.1232876712329</v>
      </c>
      <c r="M18" s="43"/>
      <c r="N18" s="13">
        <f>+L18/(1+$L$10)^((O18)/365)</f>
        <v>857.13038483207697</v>
      </c>
      <c r="O18" s="14">
        <f t="shared" si="5"/>
        <v>183</v>
      </c>
      <c r="P18" s="1"/>
      <c r="Q18" s="15">
        <f t="shared" si="6"/>
        <v>15.685486073014177</v>
      </c>
      <c r="R18" s="21"/>
    </row>
    <row r="19" spans="2:18">
      <c r="B19" s="8">
        <v>45743</v>
      </c>
      <c r="C19" s="40">
        <f t="shared" si="1"/>
        <v>0.42</v>
      </c>
      <c r="D19" s="11">
        <f t="shared" ref="D19:D23" si="7">+B19</f>
        <v>45743</v>
      </c>
      <c r="E19" s="42"/>
      <c r="F19" s="12">
        <f t="shared" ref="F19:F23" si="8">+D19</f>
        <v>45743</v>
      </c>
      <c r="G19" s="56">
        <f t="shared" ref="G19:G23" si="9">+K18</f>
        <v>10000</v>
      </c>
      <c r="H19" s="53">
        <f t="shared" si="4"/>
        <v>90</v>
      </c>
      <c r="I19" s="49">
        <f>+G19*($G$12+$G$13)*(H19)/365</f>
        <v>1035.6164383561643</v>
      </c>
      <c r="J19" s="49"/>
      <c r="K19" s="56">
        <f t="shared" ref="K19:K23" si="10">+G19-J19</f>
        <v>10000</v>
      </c>
      <c r="L19" s="51">
        <f t="shared" ref="L19:L23" si="11">+I19+J19</f>
        <v>1035.6164383561643</v>
      </c>
      <c r="M19" s="43"/>
      <c r="N19" s="13">
        <f t="shared" ref="N19:N23" si="12">+L19/(1+$L$10)^((O19)/365)</f>
        <v>768.21937620818164</v>
      </c>
      <c r="O19" s="14">
        <f t="shared" si="5"/>
        <v>273</v>
      </c>
      <c r="P19" s="1"/>
      <c r="Q19" s="15">
        <f t="shared" si="6"/>
        <v>20.972389011380145</v>
      </c>
      <c r="R19" s="21"/>
    </row>
    <row r="20" spans="2:18">
      <c r="B20" s="8">
        <v>45835</v>
      </c>
      <c r="C20" s="40">
        <f t="shared" si="1"/>
        <v>0.42</v>
      </c>
      <c r="D20" s="11">
        <f t="shared" si="7"/>
        <v>45835</v>
      </c>
      <c r="E20" s="42"/>
      <c r="F20" s="12">
        <f t="shared" si="8"/>
        <v>45835</v>
      </c>
      <c r="G20" s="56">
        <f t="shared" si="9"/>
        <v>10000</v>
      </c>
      <c r="H20" s="53">
        <f t="shared" si="4"/>
        <v>92</v>
      </c>
      <c r="I20" s="49">
        <f>+G20*($G$12+$G$13)*(H20)/365</f>
        <v>1058.6301369863013</v>
      </c>
      <c r="J20" s="49">
        <f>G10*0.33</f>
        <v>3300</v>
      </c>
      <c r="K20" s="56">
        <f t="shared" si="10"/>
        <v>6700</v>
      </c>
      <c r="L20" s="51">
        <f t="shared" si="11"/>
        <v>4358.6301369863013</v>
      </c>
      <c r="M20" s="43"/>
      <c r="N20" s="13">
        <f t="shared" si="12"/>
        <v>2923.6360230115934</v>
      </c>
      <c r="O20" s="14">
        <f t="shared" si="5"/>
        <v>365</v>
      </c>
      <c r="P20" s="1"/>
      <c r="Q20" s="15">
        <f t="shared" si="6"/>
        <v>106.71271504801615</v>
      </c>
      <c r="R20" s="21"/>
    </row>
    <row r="21" spans="2:18">
      <c r="B21" s="8">
        <v>45929</v>
      </c>
      <c r="C21" s="40">
        <f t="shared" si="1"/>
        <v>0.42</v>
      </c>
      <c r="D21" s="11">
        <f t="shared" si="7"/>
        <v>45929</v>
      </c>
      <c r="E21" s="42"/>
      <c r="F21" s="12">
        <f t="shared" si="8"/>
        <v>45929</v>
      </c>
      <c r="G21" s="56">
        <f t="shared" si="9"/>
        <v>6700</v>
      </c>
      <c r="H21" s="53">
        <f t="shared" si="4"/>
        <v>94</v>
      </c>
      <c r="I21" s="49">
        <f>+G21*($G$12+$G$13)*(H21)/365</f>
        <v>724.70136986301372</v>
      </c>
      <c r="J21" s="49"/>
      <c r="K21" s="56">
        <f t="shared" si="10"/>
        <v>6700</v>
      </c>
      <c r="L21" s="51">
        <f t="shared" si="11"/>
        <v>724.70136986301372</v>
      </c>
      <c r="M21" s="43"/>
      <c r="N21" s="13">
        <f t="shared" si="12"/>
        <v>438.60042815718543</v>
      </c>
      <c r="O21" s="14">
        <f t="shared" si="5"/>
        <v>459</v>
      </c>
      <c r="P21" s="1"/>
      <c r="Q21" s="15">
        <f t="shared" si="6"/>
        <v>20.131759691672347</v>
      </c>
      <c r="R21" s="21"/>
    </row>
    <row r="22" spans="2:18">
      <c r="B22" s="8">
        <v>46020</v>
      </c>
      <c r="C22" s="40">
        <f t="shared" si="1"/>
        <v>0.42</v>
      </c>
      <c r="D22" s="11">
        <f t="shared" si="7"/>
        <v>46020</v>
      </c>
      <c r="E22" s="42"/>
      <c r="F22" s="12">
        <f t="shared" si="8"/>
        <v>46020</v>
      </c>
      <c r="G22" s="56">
        <f t="shared" si="9"/>
        <v>6700</v>
      </c>
      <c r="H22" s="53">
        <f t="shared" si="4"/>
        <v>91</v>
      </c>
      <c r="I22" s="49">
        <f t="shared" ref="I22" si="13">+G22*($G$12+$G$13)*(H22)/365</f>
        <v>701.57260273972599</v>
      </c>
      <c r="J22" s="49">
        <f>G10*0.33</f>
        <v>3300</v>
      </c>
      <c r="K22" s="56">
        <f t="shared" si="10"/>
        <v>3400</v>
      </c>
      <c r="L22" s="51">
        <f t="shared" si="11"/>
        <v>4001.5726027397259</v>
      </c>
      <c r="M22" s="43"/>
      <c r="N22" s="13">
        <f t="shared" si="12"/>
        <v>2192.3141004797199</v>
      </c>
      <c r="O22" s="14">
        <f t="shared" si="5"/>
        <v>550</v>
      </c>
      <c r="P22" s="1"/>
      <c r="Q22" s="15">
        <f t="shared" si="6"/>
        <v>120.57727576151389</v>
      </c>
      <c r="R22" s="21"/>
    </row>
    <row r="23" spans="2:18">
      <c r="B23" s="8">
        <v>46108</v>
      </c>
      <c r="C23" s="40">
        <f t="shared" si="1"/>
        <v>0.42</v>
      </c>
      <c r="D23" s="11">
        <f t="shared" si="7"/>
        <v>46108</v>
      </c>
      <c r="E23" s="42"/>
      <c r="F23" s="12">
        <f t="shared" si="8"/>
        <v>46108</v>
      </c>
      <c r="G23" s="56">
        <f t="shared" si="9"/>
        <v>3400</v>
      </c>
      <c r="H23" s="53">
        <f t="shared" si="4"/>
        <v>88</v>
      </c>
      <c r="I23" s="49">
        <f>+G23*($G$12+$G$13)*(H23)/365</f>
        <v>344.28493150684932</v>
      </c>
      <c r="J23" s="49"/>
      <c r="K23" s="56">
        <f t="shared" si="10"/>
        <v>3400</v>
      </c>
      <c r="L23" s="51">
        <f t="shared" si="11"/>
        <v>344.28493150684932</v>
      </c>
      <c r="M23" s="43"/>
      <c r="N23" s="13">
        <f t="shared" si="12"/>
        <v>171.30799162011692</v>
      </c>
      <c r="O23" s="14">
        <f t="shared" si="5"/>
        <v>638</v>
      </c>
      <c r="P23" s="1"/>
      <c r="Q23" s="15">
        <f t="shared" si="6"/>
        <v>10.929449886676215</v>
      </c>
      <c r="R23" s="21"/>
    </row>
    <row r="24" spans="2:18" ht="15.75" thickBot="1">
      <c r="B24" s="8">
        <v>46202</v>
      </c>
      <c r="C24" s="40">
        <f t="shared" si="1"/>
        <v>0.42</v>
      </c>
      <c r="D24" s="11">
        <f>+B24</f>
        <v>46202</v>
      </c>
      <c r="E24" s="42"/>
      <c r="F24" s="12">
        <f>+D24</f>
        <v>46202</v>
      </c>
      <c r="G24" s="56">
        <f>+K22</f>
        <v>3400</v>
      </c>
      <c r="H24" s="53">
        <f t="shared" si="4"/>
        <v>94</v>
      </c>
      <c r="I24" s="49">
        <f t="shared" ref="I24" si="14">+G24*($G$12+$G$13)*(H24)/365</f>
        <v>367.75890410958903</v>
      </c>
      <c r="J24" s="49">
        <f>G10*0.34</f>
        <v>3400.0000000000005</v>
      </c>
      <c r="K24" s="56">
        <f t="shared" ref="K24" si="15">+G24-J24</f>
        <v>0</v>
      </c>
      <c r="L24" s="51">
        <f t="shared" ref="L24" si="16">+I24+J24</f>
        <v>3767.7589041095894</v>
      </c>
      <c r="M24" s="43"/>
      <c r="N24" s="13">
        <f>+L24/(1+$L$10)^((O24)/365)</f>
        <v>1691.5287956226114</v>
      </c>
      <c r="O24" s="14">
        <f t="shared" si="5"/>
        <v>732</v>
      </c>
      <c r="P24" s="1"/>
      <c r="Q24" s="15">
        <f t="shared" si="6"/>
        <v>123.81990808102768</v>
      </c>
      <c r="R24" s="21"/>
    </row>
    <row r="25" spans="2:18" hidden="1">
      <c r="B25" s="8"/>
      <c r="C25" s="40"/>
      <c r="D25" s="11"/>
      <c r="E25" s="42"/>
      <c r="F25" s="12"/>
      <c r="G25" s="56"/>
      <c r="H25" s="53"/>
      <c r="I25" s="49"/>
      <c r="J25" s="56"/>
      <c r="K25" s="56"/>
      <c r="L25" s="51"/>
      <c r="M25" s="43"/>
      <c r="N25" s="13"/>
      <c r="O25" s="14"/>
      <c r="P25" s="1"/>
      <c r="Q25" s="15"/>
      <c r="R25" s="21"/>
    </row>
    <row r="26" spans="2:18" hidden="1">
      <c r="B26" s="8"/>
      <c r="C26" s="40"/>
      <c r="D26" s="11"/>
      <c r="E26" s="42"/>
      <c r="F26" s="12"/>
      <c r="G26" s="56"/>
      <c r="H26" s="53"/>
      <c r="I26" s="49"/>
      <c r="J26" s="56"/>
      <c r="K26" s="56"/>
      <c r="L26" s="51"/>
      <c r="M26" s="43"/>
      <c r="N26" s="13"/>
      <c r="O26" s="14"/>
      <c r="P26" s="1"/>
      <c r="Q26" s="15"/>
      <c r="R26" s="21"/>
    </row>
    <row r="27" spans="2:18" ht="15.75" hidden="1" thickBot="1">
      <c r="B27" s="8"/>
      <c r="C27" s="40"/>
      <c r="D27" s="11"/>
      <c r="E27" s="42"/>
      <c r="F27" s="12"/>
      <c r="G27" s="56"/>
      <c r="H27" s="53"/>
      <c r="I27" s="49"/>
      <c r="J27" s="56"/>
      <c r="K27" s="56"/>
      <c r="L27" s="51"/>
      <c r="M27" s="43"/>
      <c r="N27" s="13"/>
      <c r="O27" s="14"/>
      <c r="P27" s="1"/>
      <c r="Q27" s="15"/>
      <c r="R27" s="21"/>
    </row>
    <row r="28" spans="2:18" ht="15.75" thickBot="1">
      <c r="B28" s="41"/>
      <c r="C28" s="40"/>
      <c r="D28" s="41"/>
      <c r="E28" s="18"/>
      <c r="F28" s="59" t="s">
        <v>10</v>
      </c>
      <c r="G28" s="60"/>
      <c r="H28" s="61"/>
      <c r="I28" s="47">
        <f>SUM(I18:I24)</f>
        <v>5279.6876712328767</v>
      </c>
      <c r="J28" s="55">
        <f>SUM(J18:J24)</f>
        <v>10000</v>
      </c>
      <c r="K28" s="47"/>
      <c r="L28" s="48">
        <f>SUM(L16:L24)</f>
        <v>6338.317808219178</v>
      </c>
      <c r="M28" s="44"/>
      <c r="N28" s="16">
        <f>SUM(N17:N24)</f>
        <v>9999.9999804997005</v>
      </c>
      <c r="O28" s="1"/>
      <c r="P28" s="1"/>
      <c r="Q28" s="1"/>
      <c r="R28" s="21"/>
    </row>
    <row r="29" spans="2:18">
      <c r="E29" s="18"/>
      <c r="F29" s="19"/>
      <c r="G29" s="18"/>
      <c r="H29" s="18"/>
      <c r="I29" s="18"/>
      <c r="J29" s="18"/>
      <c r="K29" s="18"/>
      <c r="L29" s="18"/>
      <c r="M29" s="20"/>
      <c r="N29" s="21"/>
      <c r="O29" s="21"/>
      <c r="P29" s="21"/>
      <c r="Q29" s="21"/>
      <c r="R29" s="21"/>
    </row>
    <row r="30" spans="2:18">
      <c r="E30" s="18"/>
      <c r="F30" s="18"/>
      <c r="G30" s="18"/>
      <c r="H30" s="18"/>
      <c r="I30" s="18"/>
      <c r="J30" s="18"/>
      <c r="K30" s="18"/>
      <c r="L30" s="18"/>
      <c r="M30" s="20"/>
      <c r="N30" s="21"/>
      <c r="O30" s="21"/>
      <c r="P30" s="21"/>
      <c r="Q30" s="21"/>
      <c r="R30" s="21"/>
    </row>
    <row r="31" spans="2:18" s="1" customFormat="1" ht="19.5" customHeight="1">
      <c r="E31" s="17"/>
      <c r="F31" s="57" t="s">
        <v>19</v>
      </c>
      <c r="G31" s="57"/>
      <c r="H31" s="57"/>
      <c r="I31" s="57"/>
      <c r="J31" s="57"/>
      <c r="K31" s="57"/>
      <c r="L31" s="57"/>
    </row>
    <row r="32" spans="2:18" s="1" customFormat="1" ht="19.5" customHeight="1">
      <c r="E32" s="17"/>
      <c r="F32" s="57"/>
      <c r="G32" s="57"/>
      <c r="H32" s="57"/>
      <c r="I32" s="57"/>
      <c r="J32" s="57"/>
      <c r="K32" s="57"/>
      <c r="L32" s="57"/>
    </row>
    <row r="33" spans="5:18">
      <c r="E33" s="18"/>
      <c r="F33" s="19"/>
      <c r="G33" s="18"/>
      <c r="H33" s="18"/>
      <c r="I33" s="18"/>
      <c r="J33" s="18"/>
      <c r="K33" s="18"/>
      <c r="L33" s="18"/>
      <c r="M33" s="20"/>
      <c r="N33" s="21"/>
      <c r="O33" s="21"/>
      <c r="P33" s="21"/>
      <c r="Q33" s="21"/>
      <c r="R33" s="21"/>
    </row>
    <row r="34" spans="5:18">
      <c r="E34" s="18"/>
      <c r="F34" s="19"/>
      <c r="G34" s="18"/>
      <c r="H34" s="18"/>
      <c r="I34" s="18"/>
      <c r="J34" s="18"/>
      <c r="K34" s="18"/>
      <c r="L34" s="18"/>
      <c r="M34" s="20"/>
      <c r="N34" s="21"/>
      <c r="O34" s="21"/>
      <c r="P34" s="21"/>
      <c r="Q34" s="21"/>
      <c r="R34" s="21"/>
    </row>
    <row r="35" spans="5:18">
      <c r="E35" s="18"/>
      <c r="F35" s="19"/>
      <c r="G35" s="18"/>
      <c r="H35" s="18"/>
      <c r="I35" s="18"/>
      <c r="J35" s="18"/>
      <c r="K35" s="18"/>
      <c r="L35" s="18"/>
      <c r="M35" s="20"/>
      <c r="N35" s="21"/>
      <c r="O35" s="21"/>
      <c r="P35" s="21"/>
      <c r="Q35" s="21"/>
      <c r="R35" s="21"/>
    </row>
    <row r="36" spans="5:18">
      <c r="E36" s="18"/>
      <c r="F36" s="19"/>
      <c r="G36" s="18"/>
      <c r="H36" s="18"/>
      <c r="I36" s="18"/>
      <c r="J36" s="18"/>
      <c r="K36" s="18"/>
      <c r="L36" s="18"/>
      <c r="M36" s="20"/>
      <c r="N36" s="21"/>
      <c r="O36" s="21"/>
      <c r="P36" s="21"/>
      <c r="Q36" s="21"/>
      <c r="R36" s="21"/>
    </row>
    <row r="37" spans="5:18">
      <c r="E37" s="18"/>
      <c r="F37" s="19"/>
      <c r="G37" s="18"/>
      <c r="H37" s="18"/>
      <c r="I37" s="18"/>
      <c r="J37" s="18"/>
      <c r="K37" s="18"/>
      <c r="L37" s="18"/>
      <c r="M37" s="20"/>
      <c r="N37" s="21"/>
      <c r="O37" s="21"/>
      <c r="P37" s="21"/>
      <c r="Q37" s="21"/>
      <c r="R37" s="21"/>
    </row>
    <row r="38" spans="5:18">
      <c r="E38" s="18"/>
      <c r="F38" s="19"/>
      <c r="G38" s="18"/>
      <c r="H38" s="18"/>
      <c r="I38" s="18"/>
      <c r="J38" s="18"/>
      <c r="K38" s="18"/>
      <c r="L38" s="18"/>
      <c r="M38" s="20"/>
      <c r="N38" s="21"/>
      <c r="O38" s="21"/>
      <c r="P38" s="21"/>
      <c r="Q38" s="21"/>
      <c r="R38" s="21"/>
    </row>
    <row r="39" spans="5:18">
      <c r="E39" s="18"/>
      <c r="F39" s="19"/>
      <c r="G39" s="18"/>
      <c r="H39" s="18"/>
      <c r="I39" s="18"/>
      <c r="J39" s="18"/>
      <c r="K39" s="18"/>
      <c r="L39" s="18"/>
      <c r="M39" s="20"/>
      <c r="N39" s="21"/>
      <c r="O39" s="21"/>
      <c r="P39" s="21"/>
      <c r="Q39" s="21"/>
      <c r="R39" s="21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sheetProtection algorithmName="SHA-512" hashValue="BJT23xmlQo86dvkMqIpZrirZd+g8oX+Z95FjomE2Ns6k0jwJKylVB8K9lnPkcnp/KLUOLYA5wDq5nZLDMHvtkw==" saltValue="q6pAyUbb+XGOU2uVfDvkLA==" spinCount="100000" sheet="1" selectLockedCells="1"/>
  <mergeCells count="6">
    <mergeCell ref="F31:L32"/>
    <mergeCell ref="J10:K10"/>
    <mergeCell ref="J11:K11"/>
    <mergeCell ref="J12:K12"/>
    <mergeCell ref="J13:K13"/>
    <mergeCell ref="F28:H28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Los Goldmund S.A.</vt:lpstr>
      <vt:lpstr>'ON Los Goldmund S.A.'!Área_de_impresión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2024-06-25T12:33:25Z</dcterms:modified>
</cp:coreProperties>
</file>