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Rowing SA\"/>
    </mc:Choice>
  </mc:AlternateContent>
  <xr:revisionPtr revIDLastSave="0" documentId="13_ncr:1_{CA842A80-122F-4399-9026-2CE9085996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N Rowing S.A." sheetId="12" r:id="rId1"/>
  </sheets>
  <definedNames>
    <definedName name="_xlnm.Print_Area" localSheetId="0">'ON Rowing S.A.'!$A$4:$P$21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2" l="1"/>
  <c r="H18" i="12"/>
  <c r="J19" i="12"/>
  <c r="J27" i="12" s="1"/>
  <c r="D19" i="12" l="1"/>
  <c r="D18" i="12"/>
  <c r="D16" i="12"/>
  <c r="C19" i="12"/>
  <c r="C18" i="12"/>
  <c r="C16" i="12"/>
  <c r="C15" i="12"/>
  <c r="F19" i="12" l="1"/>
  <c r="H19" i="12"/>
  <c r="F18" i="12"/>
  <c r="F16" i="12"/>
  <c r="D15" i="12"/>
  <c r="B15" i="12" s="1"/>
  <c r="H16" i="12" s="1"/>
  <c r="F15" i="12"/>
  <c r="O19" i="12" s="1"/>
  <c r="O16" i="12" l="1"/>
  <c r="O18" i="12"/>
  <c r="G15" i="12"/>
  <c r="L15" i="12" s="1"/>
  <c r="D17" i="12"/>
  <c r="C17" i="12"/>
  <c r="F17" i="12" l="1"/>
  <c r="O17" i="12" s="1"/>
  <c r="K15" i="12"/>
  <c r="G16" i="12" l="1"/>
  <c r="K16" i="12" l="1"/>
  <c r="G17" i="12" s="1"/>
  <c r="I16" i="12"/>
  <c r="L16" i="12" l="1"/>
  <c r="K17" i="12"/>
  <c r="G18" i="12" s="1"/>
  <c r="I17" i="12"/>
  <c r="L17" i="12" s="1"/>
  <c r="I18" i="12" l="1"/>
  <c r="L18" i="12" s="1"/>
  <c r="K18" i="12"/>
  <c r="G19" i="12" s="1"/>
  <c r="I19" i="12" l="1"/>
  <c r="L19" i="12" s="1"/>
  <c r="L27" i="12" s="1"/>
  <c r="K19" i="12"/>
  <c r="I27" i="12" l="1"/>
  <c r="L9" i="12"/>
  <c r="L10" i="12" l="1"/>
  <c r="N17" i="12"/>
  <c r="N16" i="12"/>
  <c r="N18" i="12"/>
  <c r="N19" i="12"/>
  <c r="N27" i="12" l="1"/>
  <c r="Q16" i="12" s="1"/>
  <c r="Q17" i="12" l="1"/>
  <c r="Q18" i="12"/>
  <c r="Q19" i="12"/>
  <c r="L12" i="12"/>
  <c r="L11" i="12" l="1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<sst xmlns="http://schemas.openxmlformats.org/spreadsheetml/2006/main" count="23" uniqueCount="23">
  <si>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</si>
  <si>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</si>
  <si>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</si>
  <si>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</si>
  <si>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</si>
  <si>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</si>
  <si>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</si>
  <si>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</si>
  <si>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</si>
  <si>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</si>
  <si>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</si>
  <si>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</si>
  <si>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Margen a Licitar</t>
  </si>
  <si>
    <t>Capital (AR$)</t>
  </si>
  <si>
    <t>Intereses (AR$)</t>
  </si>
  <si>
    <t>Amortización (AR$)</t>
  </si>
  <si>
    <t>Capital Residual (AR$)</t>
  </si>
  <si>
    <t>Flujo (AR$)</t>
  </si>
  <si>
    <t>Badlar Proyectada</t>
  </si>
  <si>
    <t>TNA (90 d)</t>
  </si>
  <si>
    <t xml:space="preserve">Obligaciones Negociables PyME CNV Garantizada Rowing S.A. Serie I </t>
  </si>
  <si>
    <t>Pesos Badlar - 12 meses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</si>
  <si>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Prospecto que ha tenido a su disposición.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</si>
</sst>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  <numFmt numFmtId="175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3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0" fontId="8" fillId="3" borderId="2" xfId="1" applyNumberFormat="1" applyFont="1" applyFill="1" applyBorder="1" applyProtection="1">
      <protection locked="0" hidden="1"/>
    </xf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5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4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1400734</xdr:colOff>
      <xdr:row>0</xdr:row>
      <xdr:rowOff>119063</xdr:rowOff>
    </xdr:from>
    <xdr:to>
      <xdr:col>11</xdr:col>
      <xdr:colOff>1295783</xdr:colOff>
      <xdr:row>3</xdr:row>
      <xdr:rowOff>87563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4109" y="119063"/>
          <a:ext cx="1625424" cy="524125"/>
        </a:xfrm>
        <a:prstGeom prst="rect">
          <a:avLst/>
        </a:prstGeom>
      </xdr:spPr>
    </xdr:pic>
    <xdr:clientData/>
  </xdr:twoCellAnchor>
  <xdr:twoCellAnchor editAs="oneCell">
    <xdr:from>
      <xdr:col>5</xdr:col>
      <xdr:colOff>11907</xdr:colOff>
      <xdr:row>1</xdr:row>
      <xdr:rowOff>11904</xdr:rowOff>
    </xdr:from>
    <xdr:to>
      <xdr:col>5</xdr:col>
      <xdr:colOff>1959535</xdr:colOff>
      <xdr:row>3</xdr:row>
      <xdr:rowOff>170904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A8300-CB70-4AB2-84C6-E0687E72B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7188" y="583404"/>
          <a:ext cx="1947628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P56"/>
  <sheetViews>
    <sheetView showGridLines="0" tabSelected="1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2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40.1406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9.28515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11.42578125" style="21" outlineLevel="1" collapsed="1"/>
    <col min="95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20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21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11</v>
      </c>
      <c r="G9" s="24">
        <v>10000</v>
      </c>
      <c r="H9" s="17"/>
      <c r="I9" s="17"/>
      <c r="J9" s="60" t="s">
        <v>0</v>
      </c>
      <c r="K9" s="60"/>
      <c r="L9" s="3">
        <f>+XIRR(L15:L19,F15:F19)</f>
        <v>0.50611472725868223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45503</v>
      </c>
      <c r="H10" s="17"/>
      <c r="I10" s="17"/>
      <c r="J10" s="60" t="s">
        <v>19</v>
      </c>
      <c r="K10" s="60"/>
      <c r="L10" s="3">
        <f>+NOMINAL(L9,4)</f>
        <v>0.43123217076983078</v>
      </c>
      <c r="M10" s="26"/>
      <c r="N10" s="20"/>
      <c r="O10" s="20"/>
      <c r="P10" s="20"/>
      <c r="Q10" s="20"/>
      <c r="R10" s="20"/>
    </row>
    <row r="11" spans="2:18">
      <c r="E11" s="17"/>
      <c r="F11" s="23" t="s">
        <v>18</v>
      </c>
      <c r="G11" s="51">
        <v>0.38124999999999998</v>
      </c>
      <c r="H11" s="17"/>
      <c r="I11" s="17"/>
      <c r="J11" s="60" t="s">
        <v>2</v>
      </c>
      <c r="K11" s="60"/>
      <c r="L11" s="27">
        <f>+SUM(Q16:Q19)/(365/12)</f>
        <v>10.359966131437192</v>
      </c>
      <c r="M11" s="26"/>
      <c r="N11" s="20"/>
      <c r="O11" s="20"/>
      <c r="P11" s="20"/>
      <c r="Q11" s="20"/>
      <c r="R11" s="20"/>
    </row>
    <row r="12" spans="2:18">
      <c r="E12" s="17"/>
      <c r="F12" s="23" t="s">
        <v>12</v>
      </c>
      <c r="G12" s="45">
        <v>0.05</v>
      </c>
      <c r="H12" s="31"/>
      <c r="I12" s="22"/>
      <c r="J12" s="60" t="s">
        <v>8</v>
      </c>
      <c r="K12" s="60"/>
      <c r="L12" s="3">
        <f>+N27/G15</f>
        <v>1.0000000023839353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9" t="s">
        <v>3</v>
      </c>
      <c r="G14" s="53" t="s">
        <v>13</v>
      </c>
      <c r="H14" s="53" t="s">
        <v>4</v>
      </c>
      <c r="I14" s="53" t="s">
        <v>14</v>
      </c>
      <c r="J14" s="53" t="s">
        <v>15</v>
      </c>
      <c r="K14" s="53" t="s">
        <v>16</v>
      </c>
      <c r="L14" s="54" t="s">
        <v>17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45503</v>
      </c>
      <c r="C15" s="55">
        <f>+$G$11+$G$12</f>
        <v>0.43124999999999997</v>
      </c>
      <c r="D15" s="7">
        <f>+G10</f>
        <v>45503</v>
      </c>
      <c r="E15" s="41"/>
      <c r="F15" s="8">
        <f>+G10</f>
        <v>45503</v>
      </c>
      <c r="G15" s="52">
        <f>+G9</f>
        <v>10000</v>
      </c>
      <c r="H15" s="47"/>
      <c r="I15" s="46"/>
      <c r="J15" s="46"/>
      <c r="K15" s="52">
        <f t="shared" ref="K15:K16" si="0">+G15-J15</f>
        <v>10000</v>
      </c>
      <c r="L15" s="48">
        <f>-G15</f>
        <v>-10000</v>
      </c>
      <c r="M15" s="42"/>
      <c r="N15" s="9"/>
      <c r="O15" s="9"/>
      <c r="P15" s="1"/>
      <c r="Q15" s="1"/>
      <c r="R15" s="20"/>
    </row>
    <row r="16" spans="2:18">
      <c r="B16" s="7">
        <v>45595</v>
      </c>
      <c r="C16" s="55">
        <f t="shared" ref="C16:C19" si="1">+$G$11+$G$12</f>
        <v>0.43124999999999997</v>
      </c>
      <c r="D16" s="10">
        <f t="shared" ref="D16" si="2">+B16</f>
        <v>45595</v>
      </c>
      <c r="E16" s="41"/>
      <c r="F16" s="11">
        <f t="shared" ref="F16" si="3">+D16</f>
        <v>45595</v>
      </c>
      <c r="G16" s="52">
        <f>+K15</f>
        <v>10000</v>
      </c>
      <c r="H16" s="50">
        <f>+B16-B15</f>
        <v>92</v>
      </c>
      <c r="I16" s="46">
        <f>+G16*($G$11+$G$12)*(H16)/365</f>
        <v>1086.986301369863</v>
      </c>
      <c r="J16" s="46"/>
      <c r="K16" s="52">
        <f t="shared" si="0"/>
        <v>10000</v>
      </c>
      <c r="L16" s="48">
        <f>+I16+J16</f>
        <v>1086.986301369863</v>
      </c>
      <c r="M16" s="42"/>
      <c r="N16" s="12">
        <f>+L16/(1+$L$9)^((O16)/365)</f>
        <v>980.37921545515678</v>
      </c>
      <c r="O16" s="13">
        <f>+F16-$F$15</f>
        <v>92</v>
      </c>
      <c r="P16" s="1"/>
      <c r="Q16" s="14">
        <f>+(N16/$N$27)*O16</f>
        <v>9.0194887606855652</v>
      </c>
      <c r="R16" s="20"/>
    </row>
    <row r="17" spans="2:18">
      <c r="B17" s="7">
        <v>45687</v>
      </c>
      <c r="C17" s="55">
        <f t="shared" si="1"/>
        <v>0.43124999999999997</v>
      </c>
      <c r="D17" s="10">
        <f>+B17</f>
        <v>45687</v>
      </c>
      <c r="E17" s="41"/>
      <c r="F17" s="11">
        <f>+D17</f>
        <v>45687</v>
      </c>
      <c r="G17" s="52">
        <f>+K16</f>
        <v>10000</v>
      </c>
      <c r="H17" s="50">
        <f t="shared" ref="H17:H18" si="4">+B17-B16</f>
        <v>92</v>
      </c>
      <c r="I17" s="46">
        <f>+G17*($G$11+$G$12)*(H17)/365</f>
        <v>1086.986301369863</v>
      </c>
      <c r="J17" s="46"/>
      <c r="K17" s="52">
        <f>+G17-J17</f>
        <v>10000</v>
      </c>
      <c r="L17" s="48">
        <f>+I17+J17</f>
        <v>1086.986301369863</v>
      </c>
      <c r="M17" s="42"/>
      <c r="N17" s="12">
        <f>+L17/(1+$L$9)^((O17)/365)</f>
        <v>884.22770819208836</v>
      </c>
      <c r="O17" s="13">
        <f>+F17-$F$15</f>
        <v>184</v>
      </c>
      <c r="P17" s="1"/>
      <c r="Q17" s="14">
        <f>+(N17/$N$27)*O17</f>
        <v>16.269789791948298</v>
      </c>
      <c r="R17" s="20"/>
    </row>
    <row r="18" spans="2:18">
      <c r="B18" s="7">
        <v>45777</v>
      </c>
      <c r="C18" s="55">
        <f t="shared" si="1"/>
        <v>0.43124999999999997</v>
      </c>
      <c r="D18" s="10">
        <f t="shared" ref="D18:D19" si="5">+B18</f>
        <v>45777</v>
      </c>
      <c r="E18" s="41"/>
      <c r="F18" s="11">
        <f t="shared" ref="F18:F19" si="6">+D18</f>
        <v>45777</v>
      </c>
      <c r="G18" s="52">
        <f t="shared" ref="G18:G19" si="7">+K17</f>
        <v>10000</v>
      </c>
      <c r="H18" s="50">
        <f t="shared" si="4"/>
        <v>90</v>
      </c>
      <c r="I18" s="46">
        <f>+G18*($G$11+$G$12)*(H18)/365</f>
        <v>1063.3561643835617</v>
      </c>
      <c r="J18" s="46"/>
      <c r="K18" s="52">
        <f t="shared" ref="K18:K19" si="8">+G18-J18</f>
        <v>10000</v>
      </c>
      <c r="L18" s="48">
        <f t="shared" ref="L18:L19" si="9">+I18+J18</f>
        <v>1063.3561643835617</v>
      </c>
      <c r="M18" s="42"/>
      <c r="N18" s="12">
        <f>+L18/(1+$L$9)^((O18)/365)</f>
        <v>781.92192536672621</v>
      </c>
      <c r="O18" s="13">
        <f>+F18-$F$15</f>
        <v>274</v>
      </c>
      <c r="P18" s="1"/>
      <c r="Q18" s="14">
        <f>+(N18/$N$27)*O18</f>
        <v>21.424660703973291</v>
      </c>
      <c r="R18" s="20"/>
    </row>
    <row r="19" spans="2:18" ht="15.75" thickBot="1">
      <c r="B19" s="7">
        <v>45868</v>
      </c>
      <c r="C19" s="55">
        <f t="shared" si="1"/>
        <v>0.43124999999999997</v>
      </c>
      <c r="D19" s="10">
        <f t="shared" si="5"/>
        <v>45868</v>
      </c>
      <c r="E19" s="41"/>
      <c r="F19" s="11">
        <f t="shared" si="6"/>
        <v>45868</v>
      </c>
      <c r="G19" s="52">
        <f t="shared" si="7"/>
        <v>10000</v>
      </c>
      <c r="H19" s="50">
        <f>+D19-B18</f>
        <v>91</v>
      </c>
      <c r="I19" s="46">
        <f>+G19*($G$11+$G$12)*(H19)/365</f>
        <v>1075.1712328767123</v>
      </c>
      <c r="J19" s="46">
        <f>G9*1</f>
        <v>10000</v>
      </c>
      <c r="K19" s="52">
        <f t="shared" si="8"/>
        <v>0</v>
      </c>
      <c r="L19" s="48">
        <f t="shared" si="9"/>
        <v>11075.171232876712</v>
      </c>
      <c r="M19" s="42"/>
      <c r="N19" s="12">
        <f>+L19/(1+$L$9)^((O19)/365)</f>
        <v>7353.4711748253812</v>
      </c>
      <c r="O19" s="13">
        <f>+F19-$F$15</f>
        <v>365</v>
      </c>
      <c r="P19" s="1"/>
      <c r="Q19" s="14">
        <f>+(N19/$N$27)*O19</f>
        <v>268.40169724127412</v>
      </c>
      <c r="R19" s="20"/>
    </row>
    <row r="20" spans="2:18" hidden="1">
      <c r="B20" s="7"/>
      <c r="C20" s="39"/>
      <c r="D20" s="10"/>
      <c r="E20" s="41"/>
      <c r="F20" s="11"/>
      <c r="G20" s="52"/>
      <c r="H20" s="50"/>
      <c r="I20" s="46"/>
      <c r="J20" s="46"/>
      <c r="K20" s="52"/>
      <c r="L20" s="48"/>
      <c r="M20" s="42"/>
      <c r="N20" s="12"/>
      <c r="O20" s="13"/>
      <c r="P20" s="1"/>
      <c r="Q20" s="14"/>
      <c r="R20" s="20"/>
    </row>
    <row r="21" spans="2:18" hidden="1">
      <c r="B21" s="7"/>
      <c r="C21" s="39"/>
      <c r="D21" s="10"/>
      <c r="E21" s="41"/>
      <c r="F21" s="11"/>
      <c r="G21" s="52"/>
      <c r="H21" s="50"/>
      <c r="I21" s="46"/>
      <c r="J21" s="46"/>
      <c r="K21" s="52"/>
      <c r="L21" s="48"/>
      <c r="M21" s="42"/>
      <c r="N21" s="12"/>
      <c r="O21" s="13"/>
      <c r="P21" s="1"/>
      <c r="Q21" s="14"/>
      <c r="R21" s="20"/>
    </row>
    <row r="22" spans="2:18" hidden="1">
      <c r="B22" s="7"/>
      <c r="C22" s="39"/>
      <c r="D22" s="10"/>
      <c r="E22" s="41"/>
      <c r="F22" s="11"/>
      <c r="G22" s="52"/>
      <c r="H22" s="50"/>
      <c r="I22" s="46"/>
      <c r="J22" s="46"/>
      <c r="K22" s="52"/>
      <c r="L22" s="48"/>
      <c r="M22" s="42"/>
      <c r="N22" s="12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2"/>
      <c r="H23" s="50"/>
      <c r="I23" s="46"/>
      <c r="J23" s="46"/>
      <c r="K23" s="52"/>
      <c r="L23" s="48"/>
      <c r="M23" s="42"/>
      <c r="N23" s="12"/>
      <c r="O23" s="13"/>
      <c r="P23" s="1"/>
      <c r="Q23" s="14"/>
      <c r="R23" s="20"/>
    </row>
    <row r="24" spans="2:18" hidden="1">
      <c r="B24" s="7"/>
      <c r="C24" s="39"/>
      <c r="D24" s="10"/>
      <c r="E24" s="41"/>
      <c r="F24" s="11"/>
      <c r="G24" s="52"/>
      <c r="H24" s="50"/>
      <c r="I24" s="46"/>
      <c r="J24" s="52"/>
      <c r="K24" s="52"/>
      <c r="L24" s="48"/>
      <c r="M24" s="42"/>
      <c r="N24" s="12"/>
      <c r="O24" s="13"/>
      <c r="P24" s="1"/>
      <c r="Q24" s="14"/>
      <c r="R24" s="20"/>
    </row>
    <row r="25" spans="2:18" hidden="1">
      <c r="B25" s="7"/>
      <c r="C25" s="39"/>
      <c r="D25" s="10"/>
      <c r="E25" s="41"/>
      <c r="F25" s="11"/>
      <c r="G25" s="52"/>
      <c r="H25" s="50"/>
      <c r="I25" s="46"/>
      <c r="J25" s="52"/>
      <c r="K25" s="52"/>
      <c r="L25" s="48"/>
      <c r="M25" s="42"/>
      <c r="N25" s="12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2"/>
      <c r="H26" s="50"/>
      <c r="I26" s="46"/>
      <c r="J26" s="52"/>
      <c r="K26" s="52"/>
      <c r="L26" s="48"/>
      <c r="M26" s="42"/>
      <c r="N26" s="12"/>
      <c r="O26" s="13"/>
      <c r="P26" s="1"/>
      <c r="Q26" s="14"/>
      <c r="R26" s="20"/>
    </row>
    <row r="27" spans="2:18" ht="15.75" thickBot="1">
      <c r="B27" s="40"/>
      <c r="C27" s="39"/>
      <c r="D27" s="40"/>
      <c r="E27" s="17"/>
      <c r="F27" s="61" t="s">
        <v>10</v>
      </c>
      <c r="G27" s="62"/>
      <c r="H27" s="62"/>
      <c r="I27" s="56">
        <f>SUM(I16:I23)</f>
        <v>4312.5</v>
      </c>
      <c r="J27" s="57">
        <f>SUM(J16:J23)</f>
        <v>10000</v>
      </c>
      <c r="K27" s="56"/>
      <c r="L27" s="58">
        <f>SUM(L15:L23)</f>
        <v>4312.5</v>
      </c>
      <c r="M27" s="43"/>
      <c r="N27" s="15">
        <f>SUM(N16:N23)</f>
        <v>10000.000023839353</v>
      </c>
      <c r="O27" s="1"/>
      <c r="P27" s="1"/>
      <c r="Q27" s="1"/>
      <c r="R27" s="20"/>
    </row>
    <row r="28" spans="2:18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59" t="s">
        <v>22</v>
      </c>
      <c r="G30" s="59"/>
      <c r="H30" s="59"/>
      <c r="I30" s="59"/>
      <c r="J30" s="59"/>
      <c r="K30" s="59"/>
      <c r="L30" s="59"/>
    </row>
    <row r="31" spans="2:18" s="1" customFormat="1" ht="26.25" customHeight="1">
      <c r="E31" s="16"/>
      <c r="F31" s="59"/>
      <c r="G31" s="59"/>
      <c r="H31" s="59"/>
      <c r="I31" s="59"/>
      <c r="J31" s="59"/>
      <c r="K31" s="59"/>
      <c r="L31" s="59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IFfGfPTrUg0Us2gXdJOnmYmJ7JsLlkaSHi+TsCIJXZBRNQ8tWPn+m1gtU2urgMIPzBNrkJbwsGrw7VfNw7Kogg==" saltValue="DqztkUJC7bYt+RVZvGfwnQ==" spinCount="100000" sheet="1"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Rowing S.A.</vt:lpstr>
      <vt:lpstr>'ON Rowing S.A.'!Área_de_impresión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2024-07-26T11:20:35Z</dcterms:modified>
</cp:coreProperties>
</file>