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Meranol SA\Clases 25 y 26\"/>
    </mc:Choice>
  </mc:AlternateContent>
  <xr:revisionPtr revIDLastSave="0" documentId="13_ncr:1_{E814CDE5-C0B3-489D-BDFF-5CE1600F8B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N Meranol S.A. Clase 25" sheetId="12" r:id="rId1"/>
    <sheet name="ON Meranol S.A. Clase 26" sheetId="11" r:id="rId2"/>
  </sheets>
  <definedNames>
    <definedName name="_xlnm.Print_Area" localSheetId="0">'ON Meranol S.A. Clase 25'!$A$4:$P$17</definedName>
    <definedName name="_xlnm.Print_Area" localSheetId="1">'ON Meranol S.A. Clase 26'!$A$6:$P$18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1" l="1"/>
  <c r="H17" i="11"/>
  <c r="H16" i="11"/>
  <c r="H15" i="11"/>
  <c r="H15" i="12"/>
  <c r="H16" i="12"/>
  <c r="H17" i="12"/>
  <c r="D17" i="12"/>
  <c r="F17" i="12"/>
  <c r="D17" i="11"/>
  <c r="D16" i="12"/>
  <c r="C16" i="12"/>
  <c r="J17" i="12"/>
  <c r="J18" i="11"/>
  <c r="C18" i="11"/>
  <c r="C17" i="12"/>
  <c r="F16" i="12" l="1"/>
  <c r="D16" i="11"/>
  <c r="J18" i="12"/>
  <c r="J19" i="11"/>
  <c r="C16" i="11"/>
  <c r="G14" i="12"/>
  <c r="L14" i="12" s="1"/>
  <c r="G14" i="11"/>
  <c r="L14" i="11" s="1"/>
  <c r="D15" i="11"/>
  <c r="D14" i="12"/>
  <c r="B14" i="12" s="1"/>
  <c r="F14" i="12"/>
  <c r="D15" i="12"/>
  <c r="C15" i="12"/>
  <c r="C14" i="12"/>
  <c r="C17" i="11"/>
  <c r="C15" i="11"/>
  <c r="F14" i="11"/>
  <c r="D14" i="11"/>
  <c r="B14" i="11" s="1"/>
  <c r="C14" i="11"/>
  <c r="F15" i="11" l="1"/>
  <c r="O15" i="11" s="1"/>
  <c r="O16" i="12"/>
  <c r="F16" i="11"/>
  <c r="O16" i="11" s="1"/>
  <c r="F17" i="11"/>
  <c r="O17" i="11" s="1"/>
  <c r="F15" i="12"/>
  <c r="O15" i="12" s="1"/>
  <c r="O17" i="12"/>
  <c r="K14" i="12"/>
  <c r="G15" i="12" s="1"/>
  <c r="K14" i="11"/>
  <c r="K15" i="12" l="1"/>
  <c r="G16" i="12" s="1"/>
  <c r="I16" i="12" s="1"/>
  <c r="L16" i="12" s="1"/>
  <c r="I15" i="12"/>
  <c r="K16" i="12"/>
  <c r="G17" i="12"/>
  <c r="K17" i="12" s="1"/>
  <c r="G15" i="11"/>
  <c r="K15" i="11" s="1"/>
  <c r="G16" i="11" s="1"/>
  <c r="K16" i="11" l="1"/>
  <c r="G17" i="11" s="1"/>
  <c r="I16" i="11"/>
  <c r="L16" i="11" s="1"/>
  <c r="I17" i="12"/>
  <c r="L17" i="12" s="1"/>
  <c r="I15" i="11"/>
  <c r="L15" i="11" s="1"/>
  <c r="L15" i="12"/>
  <c r="I18" i="12" l="1"/>
  <c r="L8" i="12"/>
  <c r="I17" i="11"/>
  <c r="L17" i="11" s="1"/>
  <c r="K17" i="11"/>
  <c r="G18" i="11" s="1"/>
  <c r="N16" i="12" l="1"/>
  <c r="L9" i="12"/>
  <c r="K18" i="11"/>
  <c r="L18" i="12"/>
  <c r="N15" i="12" l="1"/>
  <c r="N17" i="12"/>
  <c r="N18" i="12" l="1"/>
  <c r="Q16" i="12" s="1"/>
  <c r="Q15" i="12" l="1"/>
  <c r="L11" i="12"/>
  <c r="Q17" i="12"/>
  <c r="L10" i="12" l="1"/>
  <c r="D18" i="11"/>
  <c r="I18" i="11" l="1"/>
  <c r="L18" i="11" s="1"/>
  <c r="F18" i="11"/>
  <c r="O18" i="11" s="1"/>
  <c r="L8" i="11" l="1"/>
  <c r="L9" i="11" s="1"/>
  <c r="I19" i="11"/>
  <c r="L19" i="11"/>
  <c r="N16" i="11" l="1"/>
  <c r="N18" i="11"/>
  <c r="N15" i="11"/>
  <c r="N17" i="11"/>
  <c r="N19" i="11" l="1"/>
  <c r="L11" i="11" s="1"/>
  <c r="Q15" i="11" l="1"/>
  <c r="Q18" i="11"/>
  <c r="Q16" i="11"/>
  <c r="Q17" i="11"/>
  <c r="L10" i="11" l="1"/>
</calcChain>
</file>

<file path=xl/sharedStrings.xml><?xml version="1.0" encoding="utf-8"?>
<sst xmlns="http://schemas.openxmlformats.org/spreadsheetml/2006/main" count="45" uniqueCount="32">
  <si>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</si>
  <si>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</si>
  <si>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</si>
  <si>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</si>
  <si>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</si>
  <si>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</si>
  <si>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</si>
  <si>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</si>
  <si>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</si>
  <si>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</si>
  <si>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</si>
  <si>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(USD)</t>
  </si>
  <si>
    <t>VN (AR$)</t>
  </si>
  <si>
    <t>Margen a Licitar</t>
  </si>
  <si>
    <t>Tasa Fija a Licitar</t>
  </si>
  <si>
    <t>Capital (AR$)</t>
  </si>
  <si>
    <t>Intereses (AR$)</t>
  </si>
  <si>
    <t>Amortización (AR$)</t>
  </si>
  <si>
    <t>Capital Residual (AR$)</t>
  </si>
  <si>
    <t>Flujo (AR$)</t>
  </si>
  <si>
    <t>Capital (USD)</t>
  </si>
  <si>
    <t>Intereses (USD)</t>
  </si>
  <si>
    <t>Amortización (USD)</t>
  </si>
  <si>
    <t>Capital Residual (USD)</t>
  </si>
  <si>
    <t>Flujo (USD)</t>
  </si>
  <si>
    <t>Badlar Proyectada</t>
  </si>
  <si>
    <t>TNA (180 d)</t>
  </si>
  <si>
    <t>Dólar Linked - 24 meses</t>
  </si>
  <si>
    <t>Pesos Badlar - 14 meses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</si>
  <si>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</si>
  <si>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ON Pyme CNV Meranol S.A.C.I. Clase 25</t>
  </si>
  <si>
    <t>ON Pyme CNV Meranol S.A.C.I. Clase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</si>
</sst>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94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9" fontId="8" fillId="2" borderId="2" xfId="1" applyFont="1" applyFill="1" applyBorder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4" xfId="0" applyNumberFormat="1" applyFont="1" applyBorder="1"/>
    <xf numFmtId="0" fontId="5" fillId="0" borderId="0" xfId="0" applyFont="1"/>
    <xf numFmtId="166" fontId="5" fillId="0" borderId="0" xfId="0" applyNumberFormat="1" applyFont="1"/>
    <xf numFmtId="0" fontId="4" fillId="5" borderId="0" xfId="0" applyFont="1" applyFill="1"/>
    <xf numFmtId="0" fontId="5" fillId="0" borderId="0" xfId="5" applyFont="1" applyProtection="1">
      <protection hidden="1"/>
    </xf>
    <xf numFmtId="166" fontId="5" fillId="0" borderId="0" xfId="5" applyNumberFormat="1" applyFont="1" applyProtection="1">
      <protection hidden="1"/>
    </xf>
    <xf numFmtId="0" fontId="4" fillId="5" borderId="0" xfId="5" applyFont="1" applyFill="1" applyProtection="1">
      <protection hidden="1"/>
    </xf>
    <xf numFmtId="0" fontId="4" fillId="0" borderId="0" xfId="5" applyFont="1" applyProtection="1">
      <protection hidden="1"/>
    </xf>
    <xf numFmtId="0" fontId="4" fillId="0" borderId="0" xfId="5" applyFont="1"/>
    <xf numFmtId="0" fontId="6" fillId="0" borderId="0" xfId="5" applyFont="1" applyProtection="1">
      <protection hidden="1"/>
    </xf>
    <xf numFmtId="166" fontId="7" fillId="4" borderId="2" xfId="5" applyNumberFormat="1" applyFont="1" applyFill="1" applyBorder="1" applyAlignment="1" applyProtection="1">
      <alignment horizontal="left"/>
      <protection hidden="1"/>
    </xf>
    <xf numFmtId="170" fontId="8" fillId="3" borderId="2" xfId="6" applyNumberFormat="1" applyFont="1" applyFill="1" applyBorder="1" applyProtection="1">
      <protection locked="0" hidden="1"/>
    </xf>
    <xf numFmtId="14" fontId="8" fillId="2" borderId="2" xfId="5" applyNumberFormat="1" applyFont="1" applyFill="1" applyBorder="1" applyProtection="1">
      <protection hidden="1"/>
    </xf>
    <xf numFmtId="165" fontId="10" fillId="5" borderId="0" xfId="6" applyFont="1" applyFill="1" applyBorder="1" applyProtection="1">
      <protection hidden="1"/>
    </xf>
    <xf numFmtId="165" fontId="8" fillId="2" borderId="2" xfId="6" applyFont="1" applyFill="1" applyBorder="1" applyProtection="1">
      <protection hidden="1"/>
    </xf>
    <xf numFmtId="0" fontId="5" fillId="0" borderId="0" xfId="5" applyFont="1"/>
    <xf numFmtId="0" fontId="11" fillId="5" borderId="0" xfId="5" applyFont="1" applyFill="1" applyAlignment="1" applyProtection="1">
      <alignment horizontal="center"/>
      <protection hidden="1"/>
    </xf>
    <xf numFmtId="0" fontId="12" fillId="0" borderId="0" xfId="5" applyFont="1" applyProtection="1">
      <protection hidden="1"/>
    </xf>
    <xf numFmtId="10" fontId="5" fillId="0" borderId="0" xfId="5" applyNumberFormat="1" applyFont="1" applyProtection="1">
      <protection hidden="1"/>
    </xf>
    <xf numFmtId="0" fontId="12" fillId="5" borderId="0" xfId="5" applyFont="1" applyFill="1" applyProtection="1">
      <protection hidden="1"/>
    </xf>
    <xf numFmtId="0" fontId="4" fillId="5" borderId="0" xfId="5" applyFont="1" applyFill="1"/>
    <xf numFmtId="0" fontId="4" fillId="0" borderId="0" xfId="5" applyFont="1" applyAlignment="1">
      <alignment horizontal="center" vertical="center" wrapText="1"/>
    </xf>
    <xf numFmtId="166" fontId="13" fillId="0" borderId="1" xfId="5" applyNumberFormat="1" applyFont="1" applyBorder="1" applyAlignment="1">
      <alignment horizontal="center" vertical="center" wrapText="1"/>
    </xf>
    <xf numFmtId="166" fontId="6" fillId="0" borderId="0" xfId="5" applyNumberFormat="1" applyFont="1" applyAlignment="1" applyProtection="1">
      <alignment horizontal="center" vertical="center" wrapText="1"/>
      <protection hidden="1"/>
    </xf>
    <xf numFmtId="0" fontId="13" fillId="5" borderId="0" xfId="5" applyFont="1" applyFill="1" applyAlignment="1" applyProtection="1">
      <alignment horizontal="center" vertical="center" wrapText="1"/>
      <protection hidden="1"/>
    </xf>
    <xf numFmtId="0" fontId="4" fillId="0" borderId="0" xfId="5" applyFont="1" applyAlignment="1" applyProtection="1">
      <alignment horizontal="center" vertical="center" wrapText="1"/>
      <protection hidden="1"/>
    </xf>
    <xf numFmtId="9" fontId="4" fillId="0" borderId="0" xfId="5" applyNumberFormat="1" applyFont="1"/>
    <xf numFmtId="167" fontId="12" fillId="0" borderId="0" xfId="5" applyNumberFormat="1" applyFont="1"/>
    <xf numFmtId="167" fontId="5" fillId="0" borderId="0" xfId="5" applyNumberFormat="1" applyFont="1" applyProtection="1">
      <protection hidden="1"/>
    </xf>
    <xf numFmtId="169" fontId="12" fillId="5" borderId="0" xfId="7" applyNumberFormat="1" applyFont="1" applyFill="1" applyBorder="1" applyAlignment="1" applyProtection="1">
      <alignment horizontal="right" indent="1"/>
      <protection hidden="1"/>
    </xf>
    <xf numFmtId="2" fontId="12" fillId="5" borderId="0" xfId="5" applyNumberFormat="1" applyFont="1" applyFill="1" applyAlignment="1" applyProtection="1">
      <alignment horizontal="right" indent="1"/>
      <protection hidden="1"/>
    </xf>
    <xf numFmtId="166" fontId="5" fillId="0" borderId="0" xfId="5" applyNumberFormat="1" applyFont="1"/>
    <xf numFmtId="10" fontId="8" fillId="3" borderId="2" xfId="1" applyNumberFormat="1" applyFont="1" applyFill="1" applyBorder="1" applyProtection="1">
      <protection locked="0"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5" fillId="2" borderId="9" xfId="0" applyNumberFormat="1" applyFont="1" applyFill="1" applyBorder="1" applyProtection="1"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1" fontId="5" fillId="2" borderId="0" xfId="5" applyNumberFormat="1" applyFont="1" applyFill="1" applyProtection="1">
      <protection hidden="1"/>
    </xf>
    <xf numFmtId="171" fontId="5" fillId="2" borderId="5" xfId="5" applyNumberFormat="1" applyFont="1" applyFill="1" applyBorder="1" applyAlignment="1" applyProtection="1">
      <alignment horizontal="right" indent="1"/>
      <protection hidden="1"/>
    </xf>
    <xf numFmtId="171" fontId="5" fillId="2" borderId="9" xfId="5" applyNumberFormat="1" applyFont="1" applyFill="1" applyBorder="1" applyProtection="1"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Alignment="1" applyProtection="1">
      <alignment horizontal="right" indent="1"/>
      <protection hidden="1"/>
    </xf>
    <xf numFmtId="172" fontId="5" fillId="2" borderId="0" xfId="5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0" applyNumberFormat="1" applyFont="1" applyFill="1" applyProtection="1">
      <protection hidden="1"/>
    </xf>
    <xf numFmtId="174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4" fontId="5" fillId="2" borderId="0" xfId="5" applyNumberFormat="1" applyFont="1" applyFill="1" applyProtection="1"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0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166" fontId="7" fillId="4" borderId="12" xfId="0" applyNumberFormat="1" applyFont="1" applyFill="1" applyBorder="1" applyAlignment="1" applyProtection="1">
      <alignment horizontal="left" vertical="center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0" fontId="8" fillId="3" borderId="12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</cellXfs>
  <cellStyles count="9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 3" xfId="8" xr:uid="{27BCDC23-A7FF-4860-BD97-642DD810E3D4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465666</xdr:colOff>
      <xdr:row>0</xdr:row>
      <xdr:rowOff>74083</xdr:rowOff>
    </xdr:from>
    <xdr:to>
      <xdr:col>5</xdr:col>
      <xdr:colOff>1111249</xdr:colOff>
      <xdr:row>3</xdr:row>
      <xdr:rowOff>157388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645800-F5B1-473D-BFF9-979F4B69E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0583" y="74083"/>
          <a:ext cx="645583" cy="654805"/>
        </a:xfrm>
        <a:prstGeom prst="rect">
          <a:avLst/>
        </a:prstGeom>
      </xdr:spPr>
    </xdr:pic>
    <xdr:clientData/>
  </xdr:twoCellAnchor>
  <xdr:twoCellAnchor editAs="oneCell">
    <xdr:from>
      <xdr:col>11</xdr:col>
      <xdr:colOff>89346</xdr:colOff>
      <xdr:row>0</xdr:row>
      <xdr:rowOff>111126</xdr:rowOff>
    </xdr:from>
    <xdr:to>
      <xdr:col>12</xdr:col>
      <xdr:colOff>1596</xdr:colOff>
      <xdr:row>2</xdr:row>
      <xdr:rowOff>166688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24846" y="111126"/>
          <a:ext cx="1260038" cy="420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439209</xdr:colOff>
      <xdr:row>0</xdr:row>
      <xdr:rowOff>71437</xdr:rowOff>
    </xdr:from>
    <xdr:to>
      <xdr:col>5</xdr:col>
      <xdr:colOff>1084792</xdr:colOff>
      <xdr:row>3</xdr:row>
      <xdr:rowOff>154742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EA3F5-D2C2-4B3C-9FE7-E85837F9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7084" y="71437"/>
          <a:ext cx="645583" cy="630993"/>
        </a:xfrm>
        <a:prstGeom prst="rect">
          <a:avLst/>
        </a:prstGeom>
      </xdr:spPr>
    </xdr:pic>
    <xdr:clientData/>
  </xdr:twoCellAnchor>
  <xdr:twoCellAnchor editAs="oneCell">
    <xdr:from>
      <xdr:col>11</xdr:col>
      <xdr:colOff>71437</xdr:colOff>
      <xdr:row>0</xdr:row>
      <xdr:rowOff>134938</xdr:rowOff>
    </xdr:from>
    <xdr:to>
      <xdr:col>11</xdr:col>
      <xdr:colOff>1302900</xdr:colOff>
      <xdr:row>3</xdr:row>
      <xdr:rowOff>7937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6275D-37B8-4143-AA4D-CE3CAF1AC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24437" y="134938"/>
          <a:ext cx="1260038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L44"/>
  <sheetViews>
    <sheetView showGridLines="0" tabSelected="1" topLeftCell="E1" zoomScale="80" zoomScaleNormal="80" workbookViewId="0">
      <selection activeCell="G11" sqref="G11"/>
    </sheetView>
  </sheetViews>
  <sheetFormatPr baseColWidth="10" defaultColWidth="11.453125" defaultRowHeight="15" customHeight="1" zeroHeight="1" outlineLevelCol="1"/>
  <cols>
    <col min="1" max="1" width="16.54296875" style="45" hidden="1" customWidth="1"/>
    <col min="2" max="2" width="37.81640625" style="45" hidden="1" customWidth="1"/>
    <col min="3" max="3" width="15.453125" style="45" hidden="1" customWidth="1"/>
    <col min="4" max="4" width="37.81640625" style="45" hidden="1" customWidth="1"/>
    <col min="5" max="5" width="19.81640625" style="52" customWidth="1"/>
    <col min="6" max="6" width="37" style="68" bestFit="1" customWidth="1"/>
    <col min="7" max="12" width="19.7265625" style="52" customWidth="1"/>
    <col min="13" max="13" width="19.7265625" style="57" customWidth="1"/>
    <col min="14" max="17" width="19.7265625" style="45" hidden="1" customWidth="1"/>
    <col min="18" max="19" width="19.7265625" style="45" customWidth="1"/>
    <col min="20" max="88" width="11.453125" style="45" customWidth="1"/>
    <col min="89" max="90" width="11.453125" style="45"/>
    <col min="91" max="16384" width="11.453125" style="45" outlineLevel="1"/>
  </cols>
  <sheetData>
    <row r="1" spans="2:18" ht="14.5">
      <c r="E1" s="41"/>
      <c r="F1" s="42"/>
      <c r="G1" s="41"/>
      <c r="H1" s="41"/>
      <c r="I1" s="41"/>
      <c r="J1" s="41"/>
      <c r="K1" s="41"/>
      <c r="L1" s="41"/>
      <c r="M1" s="43"/>
      <c r="N1" s="44"/>
      <c r="O1" s="44"/>
      <c r="P1" s="44"/>
      <c r="Q1" s="44"/>
      <c r="R1" s="44"/>
    </row>
    <row r="2" spans="2:18" ht="14.5">
      <c r="E2" s="41"/>
      <c r="F2" s="42"/>
      <c r="G2" s="41"/>
      <c r="H2" s="41"/>
      <c r="I2" s="41"/>
      <c r="J2" s="41"/>
      <c r="K2" s="41"/>
      <c r="L2" s="41"/>
      <c r="M2" s="43"/>
      <c r="N2" s="44"/>
      <c r="O2" s="44"/>
      <c r="P2" s="44"/>
      <c r="Q2" s="44"/>
      <c r="R2" s="44"/>
    </row>
    <row r="3" spans="2:18" ht="14.5">
      <c r="E3" s="41"/>
      <c r="F3" s="42"/>
      <c r="G3" s="41"/>
      <c r="H3" s="41"/>
      <c r="I3" s="41"/>
      <c r="J3" s="41"/>
      <c r="K3" s="41"/>
      <c r="L3" s="41"/>
      <c r="M3" s="43"/>
      <c r="N3" s="44"/>
      <c r="O3" s="44"/>
      <c r="P3" s="44"/>
      <c r="Q3" s="44"/>
      <c r="R3" s="44"/>
    </row>
    <row r="4" spans="2:18" ht="14.5">
      <c r="E4" s="41"/>
      <c r="F4" s="42"/>
      <c r="G4" s="41"/>
      <c r="H4" s="41"/>
      <c r="I4" s="41"/>
      <c r="J4" s="41"/>
      <c r="K4" s="41"/>
      <c r="L4" s="41"/>
      <c r="M4" s="43"/>
      <c r="N4" s="44"/>
      <c r="O4" s="44"/>
      <c r="P4" s="44"/>
      <c r="Q4" s="44"/>
      <c r="R4" s="44"/>
    </row>
    <row r="5" spans="2:18" ht="14.5">
      <c r="E5" s="41"/>
      <c r="F5" s="6" t="s">
        <v>30</v>
      </c>
      <c r="G5" s="41"/>
      <c r="H5" s="41"/>
      <c r="I5" s="41"/>
      <c r="J5" s="41"/>
      <c r="K5" s="41"/>
      <c r="L5" s="41"/>
      <c r="M5" s="43"/>
      <c r="N5" s="44"/>
      <c r="O5" s="44"/>
      <c r="P5" s="44"/>
      <c r="Q5" s="44"/>
      <c r="R5" s="44"/>
    </row>
    <row r="6" spans="2:18" ht="14.5">
      <c r="E6" s="41"/>
      <c r="F6" s="6" t="s">
        <v>28</v>
      </c>
      <c r="G6" s="41"/>
      <c r="H6" s="41"/>
      <c r="I6" s="41"/>
      <c r="J6" s="41"/>
      <c r="K6" s="41"/>
      <c r="L6" s="41"/>
      <c r="M6" s="43"/>
      <c r="N6" s="44"/>
      <c r="O6" s="44"/>
      <c r="P6" s="44"/>
      <c r="Q6" s="44"/>
      <c r="R6" s="44"/>
    </row>
    <row r="7" spans="2:18" ht="14.5">
      <c r="E7" s="41"/>
      <c r="F7" s="42"/>
      <c r="G7" s="41"/>
      <c r="H7" s="41"/>
      <c r="I7" s="41"/>
      <c r="J7" s="41"/>
      <c r="K7" s="41"/>
      <c r="L7" s="41"/>
      <c r="M7" s="43"/>
      <c r="N7" s="44"/>
      <c r="O7" s="44"/>
      <c r="P7" s="44"/>
      <c r="Q7" s="44"/>
      <c r="R7" s="44"/>
    </row>
    <row r="8" spans="2:18" ht="14.5">
      <c r="E8" s="41"/>
      <c r="F8" s="47" t="s">
        <v>12</v>
      </c>
      <c r="G8" s="48">
        <v>1000</v>
      </c>
      <c r="H8" s="41"/>
      <c r="I8" s="41"/>
      <c r="J8" s="86" t="s">
        <v>0</v>
      </c>
      <c r="K8" s="86"/>
      <c r="L8" s="9">
        <f>+XIRR(L14:L17,F14:F17)</f>
        <v>0.56493192315101626</v>
      </c>
      <c r="M8" s="10"/>
      <c r="N8" s="44"/>
      <c r="O8" s="44"/>
      <c r="P8" s="44"/>
      <c r="Q8" s="44"/>
      <c r="R8" s="44"/>
    </row>
    <row r="9" spans="2:18" ht="14.5">
      <c r="E9" s="41"/>
      <c r="F9" s="47" t="s">
        <v>6</v>
      </c>
      <c r="G9" s="49">
        <v>45425</v>
      </c>
      <c r="H9" s="41"/>
      <c r="I9" s="41"/>
      <c r="J9" s="86" t="s">
        <v>26</v>
      </c>
      <c r="K9" s="86"/>
      <c r="L9" s="9">
        <f>+NOMINAL(L8,2)</f>
        <v>0.50194478208534088</v>
      </c>
      <c r="M9" s="50"/>
      <c r="N9" s="44"/>
      <c r="O9" s="44"/>
      <c r="P9" s="44"/>
      <c r="Q9" s="44"/>
      <c r="R9" s="44"/>
    </row>
    <row r="10" spans="2:18" ht="14.5">
      <c r="E10" s="41"/>
      <c r="F10" s="47" t="s">
        <v>25</v>
      </c>
      <c r="G10" s="81">
        <v>0.39750000000000002</v>
      </c>
      <c r="H10" s="41"/>
      <c r="I10" s="41"/>
      <c r="J10" s="86" t="s">
        <v>2</v>
      </c>
      <c r="K10" s="86"/>
      <c r="L10" s="51">
        <f>+SUM(Q15:Q17)/(365/12)</f>
        <v>12.118321959025003</v>
      </c>
      <c r="M10" s="50"/>
      <c r="N10" s="44"/>
      <c r="O10" s="44"/>
      <c r="P10" s="44"/>
      <c r="Q10" s="44"/>
      <c r="R10" s="44"/>
    </row>
    <row r="11" spans="2:18" ht="14.5">
      <c r="E11" s="41"/>
      <c r="F11" s="47" t="s">
        <v>13</v>
      </c>
      <c r="G11" s="69">
        <v>0.1</v>
      </c>
      <c r="H11" s="55"/>
      <c r="I11" s="46"/>
      <c r="J11" s="86" t="s">
        <v>8</v>
      </c>
      <c r="K11" s="86"/>
      <c r="L11" s="9">
        <f>+N18/G14</f>
        <v>1.0000000015770667</v>
      </c>
      <c r="M11" s="53"/>
      <c r="N11" s="54"/>
      <c r="O11" s="44"/>
      <c r="P11" s="44"/>
      <c r="Q11" s="44"/>
      <c r="R11" s="44"/>
    </row>
    <row r="12" spans="2:18" thickBot="1">
      <c r="E12" s="41"/>
      <c r="F12" s="42"/>
      <c r="G12" s="41"/>
      <c r="H12" s="41"/>
      <c r="I12" s="41"/>
      <c r="J12" s="41"/>
      <c r="K12" s="41"/>
      <c r="L12" s="41"/>
      <c r="M12" s="56"/>
      <c r="N12" s="54"/>
      <c r="O12" s="44"/>
      <c r="P12" s="44"/>
      <c r="Q12" s="44"/>
      <c r="R12" s="44"/>
    </row>
    <row r="13" spans="2:18" s="58" customFormat="1" ht="28.5" customHeight="1" thickBot="1">
      <c r="B13" s="59"/>
      <c r="C13" s="59" t="s">
        <v>7</v>
      </c>
      <c r="D13" s="59"/>
      <c r="E13" s="60"/>
      <c r="F13" s="78" t="s">
        <v>3</v>
      </c>
      <c r="G13" s="78" t="s">
        <v>15</v>
      </c>
      <c r="H13" s="78" t="s">
        <v>4</v>
      </c>
      <c r="I13" s="78" t="s">
        <v>16</v>
      </c>
      <c r="J13" s="78" t="s">
        <v>17</v>
      </c>
      <c r="K13" s="78" t="s">
        <v>18</v>
      </c>
      <c r="L13" s="21" t="s">
        <v>19</v>
      </c>
      <c r="M13" s="61"/>
      <c r="N13" s="23" t="s">
        <v>1</v>
      </c>
      <c r="O13" s="23" t="s">
        <v>5</v>
      </c>
      <c r="P13" s="24"/>
      <c r="Q13" s="23" t="s">
        <v>9</v>
      </c>
      <c r="R13" s="62"/>
    </row>
    <row r="14" spans="2:18" ht="14.5">
      <c r="B14" s="25">
        <f>+D14</f>
        <v>45425</v>
      </c>
      <c r="C14" s="63">
        <f t="shared" ref="C14:C17" si="0">+$G$10+$G$11</f>
        <v>0.49750000000000005</v>
      </c>
      <c r="D14" s="25">
        <f>+G9</f>
        <v>45425</v>
      </c>
      <c r="E14" s="65"/>
      <c r="F14" s="28">
        <f>+G9</f>
        <v>45425</v>
      </c>
      <c r="G14" s="84">
        <f>+G8</f>
        <v>1000</v>
      </c>
      <c r="H14" s="76"/>
      <c r="I14" s="75"/>
      <c r="J14" s="75"/>
      <c r="K14" s="84">
        <f t="shared" ref="K14:K17" si="1">+G14-J14</f>
        <v>1000</v>
      </c>
      <c r="L14" s="77">
        <f>-G14</f>
        <v>-1000</v>
      </c>
      <c r="M14" s="66"/>
      <c r="N14" s="30"/>
      <c r="O14" s="30"/>
      <c r="P14" s="5"/>
      <c r="Q14" s="5"/>
      <c r="R14" s="44"/>
    </row>
    <row r="15" spans="2:18" ht="14.5">
      <c r="B15" s="25">
        <v>45609</v>
      </c>
      <c r="C15" s="63">
        <f t="shared" si="0"/>
        <v>0.49750000000000005</v>
      </c>
      <c r="D15" s="31">
        <f>+B15</f>
        <v>45609</v>
      </c>
      <c r="E15" s="65"/>
      <c r="F15" s="32">
        <f>+D15</f>
        <v>45609</v>
      </c>
      <c r="G15" s="84">
        <f>+K14</f>
        <v>1000</v>
      </c>
      <c r="H15" s="80">
        <f>+D15-D14</f>
        <v>184</v>
      </c>
      <c r="I15" s="75">
        <f>+G15*($G$10+$G$11)*(H15)/365</f>
        <v>250.79452054794524</v>
      </c>
      <c r="J15" s="75"/>
      <c r="K15" s="84">
        <f t="shared" si="1"/>
        <v>1000</v>
      </c>
      <c r="L15" s="77">
        <f t="shared" ref="L15:L17" si="2">+I15+J15</f>
        <v>250.79452054794524</v>
      </c>
      <c r="M15" s="66"/>
      <c r="N15" s="33">
        <f>+L15/(1+$L$8)^((O15)/365)</f>
        <v>200.11102769476847</v>
      </c>
      <c r="O15" s="34">
        <f>+F15-$F$14</f>
        <v>184</v>
      </c>
      <c r="P15" s="5"/>
      <c r="Q15" s="35">
        <f>+(N15/$N$18)*O15</f>
        <v>36.820429037769124</v>
      </c>
      <c r="R15" s="44"/>
    </row>
    <row r="16" spans="2:18" ht="14.5">
      <c r="B16" s="25">
        <v>45790</v>
      </c>
      <c r="C16" s="63">
        <f t="shared" si="0"/>
        <v>0.49750000000000005</v>
      </c>
      <c r="D16" s="31">
        <f>+B16</f>
        <v>45790</v>
      </c>
      <c r="E16" s="65"/>
      <c r="F16" s="32">
        <f>+D16</f>
        <v>45790</v>
      </c>
      <c r="G16" s="84">
        <f>+K15</f>
        <v>1000</v>
      </c>
      <c r="H16" s="80">
        <f>+D16-D15</f>
        <v>181</v>
      </c>
      <c r="I16" s="75">
        <f>+G16*($G$10+$G$11)*(H16)/365</f>
        <v>246.70547945205485</v>
      </c>
      <c r="J16" s="75"/>
      <c r="K16" s="84">
        <f t="shared" si="1"/>
        <v>1000</v>
      </c>
      <c r="L16" s="77">
        <f t="shared" si="2"/>
        <v>246.70547945205485</v>
      </c>
      <c r="M16" s="66"/>
      <c r="N16" s="33">
        <f>+L16/(1+$L$8)^((O16)/365)</f>
        <v>157.64614153650166</v>
      </c>
      <c r="O16" s="34">
        <f>+F16-$F$14</f>
        <v>365</v>
      </c>
      <c r="P16" s="5"/>
      <c r="Q16" s="35">
        <f>+(N16/$N$18)*O16</f>
        <v>57.540841570077362</v>
      </c>
      <c r="R16" s="44"/>
    </row>
    <row r="17" spans="2:18" thickBot="1">
      <c r="B17" s="25">
        <v>45851</v>
      </c>
      <c r="C17" s="63">
        <f t="shared" si="0"/>
        <v>0.49750000000000005</v>
      </c>
      <c r="D17" s="31">
        <f>+B17+1</f>
        <v>45852</v>
      </c>
      <c r="E17" s="65"/>
      <c r="F17" s="32">
        <f>+D17</f>
        <v>45852</v>
      </c>
      <c r="G17" s="84">
        <f t="shared" ref="G17" si="3">+K15</f>
        <v>1000</v>
      </c>
      <c r="H17" s="80">
        <f>+D17-D16</f>
        <v>62</v>
      </c>
      <c r="I17" s="75">
        <f t="shared" ref="I17" si="4">+G17*($G$10+$G$11)*(H17)/365</f>
        <v>84.506849315068507</v>
      </c>
      <c r="J17" s="84">
        <f>+G8</f>
        <v>1000</v>
      </c>
      <c r="K17" s="84">
        <f t="shared" si="1"/>
        <v>0</v>
      </c>
      <c r="L17" s="77">
        <f t="shared" si="2"/>
        <v>1084.5068493150684</v>
      </c>
      <c r="M17" s="66"/>
      <c r="N17" s="33">
        <f>+L17/(1+$L$8)^((O17)/365)</f>
        <v>642.24283234579661</v>
      </c>
      <c r="O17" s="34">
        <f>+F17-$F$14</f>
        <v>427</v>
      </c>
      <c r="P17" s="5"/>
      <c r="Q17" s="35">
        <f>+(N17/$N$18)*O17</f>
        <v>274.23768897916403</v>
      </c>
      <c r="R17" s="44"/>
    </row>
    <row r="18" spans="2:18" thickBot="1">
      <c r="B18" s="64"/>
      <c r="C18" s="63"/>
      <c r="D18" s="64"/>
      <c r="E18" s="41"/>
      <c r="F18" s="87" t="s">
        <v>10</v>
      </c>
      <c r="G18" s="88"/>
      <c r="H18" s="89"/>
      <c r="I18" s="73">
        <f>SUM(I15:I17)</f>
        <v>582.00684931506862</v>
      </c>
      <c r="J18" s="83">
        <f>SUM(J15:J17)</f>
        <v>1000</v>
      </c>
      <c r="K18" s="73"/>
      <c r="L18" s="74">
        <f>SUM(L14:L17)</f>
        <v>582.00684931506851</v>
      </c>
      <c r="M18" s="67"/>
      <c r="N18" s="37">
        <f>SUM(N15:N17)</f>
        <v>1000.0000015770668</v>
      </c>
      <c r="O18" s="5"/>
      <c r="P18" s="5"/>
      <c r="Q18" s="5"/>
      <c r="R18" s="44"/>
    </row>
    <row r="19" spans="2:18" ht="14.5">
      <c r="E19" s="41"/>
      <c r="F19" s="42"/>
      <c r="G19" s="41"/>
      <c r="H19" s="41"/>
      <c r="I19" s="41"/>
      <c r="J19" s="41"/>
      <c r="K19" s="41"/>
      <c r="L19" s="41"/>
      <c r="M19" s="43"/>
      <c r="N19" s="44"/>
      <c r="O19" s="44"/>
      <c r="P19" s="44"/>
      <c r="Q19" s="44"/>
      <c r="R19" s="44"/>
    </row>
    <row r="20" spans="2:18" ht="14.5">
      <c r="E20" s="41"/>
      <c r="F20" s="41"/>
      <c r="G20" s="41"/>
      <c r="H20" s="41"/>
      <c r="I20" s="41"/>
      <c r="J20" s="41"/>
      <c r="K20" s="41"/>
      <c r="L20" s="41"/>
      <c r="M20" s="43"/>
      <c r="N20" s="44"/>
      <c r="O20" s="44"/>
      <c r="P20" s="44"/>
      <c r="Q20" s="44"/>
      <c r="R20" s="44"/>
    </row>
    <row r="21" spans="2:18" s="5" customFormat="1" ht="19.5" customHeight="1">
      <c r="E21" s="38"/>
      <c r="F21" s="85" t="s">
        <v>29</v>
      </c>
      <c r="G21" s="85"/>
      <c r="H21" s="85"/>
      <c r="I21" s="85"/>
      <c r="J21" s="85"/>
      <c r="K21" s="85"/>
      <c r="L21" s="85"/>
    </row>
    <row r="22" spans="2:18" s="5" customFormat="1" ht="19.5" customHeight="1">
      <c r="E22" s="38"/>
      <c r="F22" s="85"/>
      <c r="G22" s="85"/>
      <c r="H22" s="85"/>
      <c r="I22" s="85"/>
      <c r="J22" s="85"/>
      <c r="K22" s="85"/>
      <c r="L22" s="85"/>
    </row>
    <row r="23" spans="2:18" ht="14.5">
      <c r="E23" s="41"/>
      <c r="F23" s="42"/>
      <c r="G23" s="41"/>
      <c r="H23" s="41"/>
      <c r="I23" s="41"/>
      <c r="J23" s="41"/>
      <c r="K23" s="41"/>
      <c r="L23" s="41"/>
      <c r="M23" s="43"/>
      <c r="N23" s="44"/>
      <c r="O23" s="44"/>
      <c r="P23" s="44"/>
      <c r="Q23" s="44"/>
      <c r="R23" s="44"/>
    </row>
    <row r="24" spans="2:18" ht="14.5">
      <c r="E24" s="41"/>
      <c r="F24" s="42"/>
      <c r="G24" s="41"/>
      <c r="H24" s="41"/>
      <c r="I24" s="41"/>
      <c r="J24" s="41"/>
      <c r="K24" s="41"/>
      <c r="L24" s="41"/>
      <c r="M24" s="43"/>
      <c r="N24" s="44"/>
      <c r="O24" s="44"/>
      <c r="P24" s="44"/>
      <c r="Q24" s="44"/>
      <c r="R24" s="44"/>
    </row>
    <row r="25" spans="2:18" ht="14.5">
      <c r="E25" s="41"/>
      <c r="F25" s="42"/>
      <c r="G25" s="41"/>
      <c r="H25" s="41"/>
      <c r="I25" s="41"/>
      <c r="J25" s="41"/>
      <c r="K25" s="41"/>
      <c r="L25" s="41"/>
      <c r="M25" s="43"/>
      <c r="N25" s="44"/>
      <c r="O25" s="44"/>
      <c r="P25" s="44"/>
      <c r="Q25" s="44"/>
      <c r="R25" s="44"/>
    </row>
    <row r="26" spans="2:18" ht="14.5">
      <c r="E26" s="41"/>
      <c r="F26" s="42"/>
      <c r="G26" s="41"/>
      <c r="H26" s="41"/>
      <c r="I26" s="41"/>
      <c r="J26" s="41"/>
      <c r="K26" s="41"/>
      <c r="L26" s="41"/>
      <c r="M26" s="43"/>
      <c r="N26" s="44"/>
      <c r="O26" s="44"/>
      <c r="P26" s="44"/>
      <c r="Q26" s="44"/>
      <c r="R26" s="44"/>
    </row>
    <row r="27" spans="2:18" ht="14.5">
      <c r="E27" s="41"/>
      <c r="F27" s="42"/>
      <c r="G27" s="41"/>
      <c r="H27" s="41"/>
      <c r="I27" s="41"/>
      <c r="J27" s="41"/>
      <c r="K27" s="41"/>
      <c r="L27" s="41"/>
      <c r="M27" s="43"/>
      <c r="N27" s="44"/>
      <c r="O27" s="44"/>
      <c r="P27" s="44"/>
      <c r="Q27" s="44"/>
      <c r="R27" s="44"/>
    </row>
    <row r="28" spans="2:18" ht="14.5">
      <c r="E28" s="41"/>
      <c r="F28" s="42"/>
      <c r="G28" s="41"/>
      <c r="H28" s="41"/>
      <c r="I28" s="41"/>
      <c r="J28" s="41"/>
      <c r="K28" s="41"/>
      <c r="L28" s="41"/>
      <c r="M28" s="43"/>
      <c r="N28" s="44"/>
      <c r="O28" s="44"/>
      <c r="P28" s="44"/>
      <c r="Q28" s="44"/>
      <c r="R28" s="44"/>
    </row>
    <row r="29" spans="2:18" ht="14.5">
      <c r="E29" s="41"/>
      <c r="F29" s="42"/>
      <c r="G29" s="41"/>
      <c r="H29" s="41"/>
      <c r="I29" s="41"/>
      <c r="J29" s="41"/>
      <c r="K29" s="41"/>
      <c r="L29" s="41"/>
      <c r="M29" s="43"/>
      <c r="N29" s="44"/>
      <c r="O29" s="44"/>
      <c r="P29" s="44"/>
      <c r="Q29" s="44"/>
      <c r="R29" s="44"/>
    </row>
    <row r="30" spans="2:18" ht="15" customHeight="1"/>
    <row r="31" spans="2:18" ht="15" customHeight="1"/>
    <row r="32" spans="2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sheetProtection algorithmName="SHA-512" hashValue="aCM0omMfeIN+FmF9xQ9v/h424hUTJhWQ4n9twcYMEEUsVumVgjNg775g56ZkM3rPT5rJdnZQMil1Vnl0ZDJyvQ==" saltValue="uI/30h+rmTkJqvb+hmvIwQ==" spinCount="100000" sheet="1" selectLockedCells="1"/>
  <mergeCells count="6">
    <mergeCell ref="F21:L22"/>
    <mergeCell ref="J8:K8"/>
    <mergeCell ref="J9:K9"/>
    <mergeCell ref="J10:K10"/>
    <mergeCell ref="J11:K11"/>
    <mergeCell ref="F18:H18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B11C-1B05-49D3-8717-966F70F18DD9}">
  <sheetPr>
    <pageSetUpPr fitToPage="1"/>
  </sheetPr>
  <dimension ref="A1:CI66"/>
  <sheetViews>
    <sheetView showGridLines="0" topLeftCell="E1" zoomScale="80" zoomScaleNormal="80" workbookViewId="0">
      <selection activeCell="G10" sqref="G10:G11"/>
    </sheetView>
  </sheetViews>
  <sheetFormatPr baseColWidth="10" defaultColWidth="11.453125" defaultRowHeight="15" customHeight="1" zeroHeight="1" outlineLevelCol="1"/>
  <cols>
    <col min="1" max="1" width="19.81640625" style="5" hidden="1" customWidth="1"/>
    <col min="2" max="2" width="37.81640625" style="5" hidden="1" customWidth="1"/>
    <col min="3" max="3" width="16" style="5" hidden="1" customWidth="1"/>
    <col min="4" max="4" width="37.81640625" style="5" hidden="1" customWidth="1"/>
    <col min="5" max="5" width="19.81640625" style="38" customWidth="1"/>
    <col min="6" max="6" width="37" style="39" bestFit="1" customWidth="1"/>
    <col min="7" max="12" width="19.54296875" style="38" customWidth="1"/>
    <col min="13" max="13" width="19.54296875" style="40" customWidth="1"/>
    <col min="14" max="17" width="19.54296875" style="5" hidden="1" customWidth="1"/>
    <col min="18" max="86" width="19.54296875" style="5" customWidth="1"/>
    <col min="87" max="87" width="11.453125" style="5"/>
    <col min="88" max="16384" width="11.453125" style="5" outlineLevel="1"/>
  </cols>
  <sheetData>
    <row r="1" spans="1:17" ht="14.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 ht="14.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 ht="14.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4.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4.5">
      <c r="A5" s="1"/>
      <c r="B5" s="1"/>
      <c r="C5" s="1"/>
      <c r="D5" s="1"/>
      <c r="E5" s="2"/>
      <c r="F5" s="6" t="s">
        <v>31</v>
      </c>
      <c r="G5" s="6"/>
      <c r="H5" s="6"/>
      <c r="I5" s="6"/>
      <c r="J5" s="2"/>
      <c r="K5" s="2"/>
      <c r="L5" s="2"/>
      <c r="M5" s="4"/>
    </row>
    <row r="6" spans="1:17" ht="14.5">
      <c r="A6" s="1"/>
      <c r="B6" s="1"/>
      <c r="C6" s="1"/>
      <c r="D6" s="1"/>
      <c r="E6" s="2"/>
      <c r="F6" s="6" t="s">
        <v>27</v>
      </c>
      <c r="G6" s="2"/>
      <c r="H6" s="2"/>
      <c r="I6" s="2"/>
      <c r="J6" s="2"/>
      <c r="K6" s="2"/>
      <c r="L6" s="2"/>
      <c r="M6" s="4"/>
    </row>
    <row r="7" spans="1:17" ht="14.5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 ht="14.5">
      <c r="A8" s="1"/>
      <c r="B8" s="1"/>
      <c r="C8" s="1"/>
      <c r="D8" s="1"/>
      <c r="E8" s="2"/>
      <c r="F8" s="7" t="s">
        <v>11</v>
      </c>
      <c r="G8" s="8">
        <v>100</v>
      </c>
      <c r="H8" s="2"/>
      <c r="I8" s="2"/>
      <c r="J8" s="86" t="s">
        <v>0</v>
      </c>
      <c r="K8" s="86"/>
      <c r="L8" s="9">
        <f>+XIRR(L14:L18,F14:F18)</f>
        <v>8.1599625945091278E-2</v>
      </c>
      <c r="M8" s="10"/>
    </row>
    <row r="9" spans="1:17" ht="14.5">
      <c r="A9" s="1"/>
      <c r="B9" s="1"/>
      <c r="C9" s="1"/>
      <c r="D9" s="1"/>
      <c r="E9" s="2"/>
      <c r="F9" s="7" t="s">
        <v>6</v>
      </c>
      <c r="G9" s="49">
        <v>45425</v>
      </c>
      <c r="H9" s="2"/>
      <c r="I9" s="2"/>
      <c r="J9" s="86" t="s">
        <v>26</v>
      </c>
      <c r="K9" s="86"/>
      <c r="L9" s="9">
        <f>+NOMINAL(L8,2)</f>
        <v>7.9999640331787525E-2</v>
      </c>
      <c r="M9" s="11"/>
    </row>
    <row r="10" spans="1:17" ht="14.5">
      <c r="A10" s="1"/>
      <c r="B10" s="1"/>
      <c r="C10" s="1"/>
      <c r="D10" s="1"/>
      <c r="E10" s="2"/>
      <c r="F10" s="90" t="s">
        <v>14</v>
      </c>
      <c r="G10" s="92">
        <v>0.08</v>
      </c>
      <c r="H10" s="2"/>
      <c r="I10" s="2"/>
      <c r="J10" s="86" t="s">
        <v>2</v>
      </c>
      <c r="K10" s="86"/>
      <c r="L10" s="12">
        <f>+SUM(Q15:Q18)/(365/12)</f>
        <v>22.650723032095122</v>
      </c>
      <c r="M10" s="11"/>
    </row>
    <row r="11" spans="1:17" ht="14.5">
      <c r="A11" s="1"/>
      <c r="B11" s="1"/>
      <c r="C11" s="1"/>
      <c r="D11" s="1"/>
      <c r="E11" s="2"/>
      <c r="F11" s="91"/>
      <c r="G11" s="93"/>
      <c r="H11" s="13"/>
      <c r="I11" s="6"/>
      <c r="J11" s="86" t="s">
        <v>8</v>
      </c>
      <c r="K11" s="86"/>
      <c r="L11" s="14">
        <f>+N19/G14</f>
        <v>0.99999999865959921</v>
      </c>
      <c r="M11" s="15"/>
      <c r="N11" s="16"/>
    </row>
    <row r="12" spans="1:17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7" s="24" customFormat="1" ht="28.5" customHeight="1" thickBot="1">
      <c r="A13" s="18"/>
      <c r="B13" s="19"/>
      <c r="C13" s="19" t="s">
        <v>7</v>
      </c>
      <c r="D13" s="19"/>
      <c r="E13" s="20"/>
      <c r="F13" s="78" t="s">
        <v>3</v>
      </c>
      <c r="G13" s="78" t="s">
        <v>20</v>
      </c>
      <c r="H13" s="78" t="s">
        <v>4</v>
      </c>
      <c r="I13" s="78" t="s">
        <v>21</v>
      </c>
      <c r="J13" s="78" t="s">
        <v>22</v>
      </c>
      <c r="K13" s="78" t="s">
        <v>23</v>
      </c>
      <c r="L13" s="21" t="s">
        <v>24</v>
      </c>
      <c r="M13" s="22"/>
      <c r="N13" s="23" t="s">
        <v>1</v>
      </c>
      <c r="O13" s="23" t="s">
        <v>5</v>
      </c>
      <c r="Q13" s="23" t="s">
        <v>9</v>
      </c>
    </row>
    <row r="14" spans="1:17" ht="14.5">
      <c r="A14" s="1"/>
      <c r="B14" s="25">
        <f>+D14</f>
        <v>45425</v>
      </c>
      <c r="C14" s="26">
        <f>+$G$10</f>
        <v>0.08</v>
      </c>
      <c r="D14" s="25">
        <f>+G9</f>
        <v>45425</v>
      </c>
      <c r="E14" s="27"/>
      <c r="F14" s="28">
        <f>+G9</f>
        <v>45425</v>
      </c>
      <c r="G14" s="82">
        <f>+G8</f>
        <v>100</v>
      </c>
      <c r="H14" s="71"/>
      <c r="I14" s="70"/>
      <c r="J14" s="82"/>
      <c r="K14" s="82">
        <f t="shared" ref="K14:K15" si="0">+G14-J14</f>
        <v>100</v>
      </c>
      <c r="L14" s="72">
        <f>-G14</f>
        <v>-100</v>
      </c>
      <c r="M14" s="29"/>
      <c r="N14" s="30"/>
      <c r="O14" s="30"/>
    </row>
    <row r="15" spans="1:17" ht="14.5">
      <c r="A15" s="1"/>
      <c r="B15" s="25">
        <v>45609</v>
      </c>
      <c r="C15" s="26">
        <f t="shared" ref="C15:C18" si="1">+$G$10</f>
        <v>0.08</v>
      </c>
      <c r="D15" s="25">
        <f>B15</f>
        <v>45609</v>
      </c>
      <c r="E15" s="27"/>
      <c r="F15" s="32">
        <f>+D15</f>
        <v>45609</v>
      </c>
      <c r="G15" s="82">
        <f>+K14</f>
        <v>100</v>
      </c>
      <c r="H15" s="79">
        <f>+D15-D14</f>
        <v>184</v>
      </c>
      <c r="I15" s="70">
        <f>+G15*($G$10)*(H15)/365</f>
        <v>4.0328767123287674</v>
      </c>
      <c r="J15" s="82"/>
      <c r="K15" s="82">
        <f t="shared" si="0"/>
        <v>100</v>
      </c>
      <c r="L15" s="72">
        <f t="shared" ref="L15" si="2">+I15+J15</f>
        <v>4.0328767123287674</v>
      </c>
      <c r="M15" s="29"/>
      <c r="N15" s="33">
        <f>+L15/(1+$L$8)^((O15)/365)</f>
        <v>3.8765169023091923</v>
      </c>
      <c r="O15" s="34">
        <f>+F15-$F$14</f>
        <v>184</v>
      </c>
      <c r="Q15" s="35">
        <f>+(N15/$N$19)*O15</f>
        <v>7.1327911098097125</v>
      </c>
    </row>
    <row r="16" spans="1:17" ht="14.5">
      <c r="A16" s="1"/>
      <c r="B16" s="25">
        <v>45790</v>
      </c>
      <c r="C16" s="26">
        <f t="shared" si="1"/>
        <v>0.08</v>
      </c>
      <c r="D16" s="25">
        <f>B16</f>
        <v>45790</v>
      </c>
      <c r="E16" s="27"/>
      <c r="F16" s="32">
        <f t="shared" ref="F16:F18" si="3">+D16</f>
        <v>45790</v>
      </c>
      <c r="G16" s="82">
        <f t="shared" ref="G16:G18" si="4">+K15</f>
        <v>100</v>
      </c>
      <c r="H16" s="79">
        <f>+D16-D15</f>
        <v>181</v>
      </c>
      <c r="I16" s="70">
        <f t="shared" ref="I16:I18" si="5">+G16*($G$10)*(H16)/365</f>
        <v>3.967123287671233</v>
      </c>
      <c r="J16" s="82"/>
      <c r="K16" s="82">
        <f t="shared" ref="K16:K18" si="6">+G16-J16</f>
        <v>100</v>
      </c>
      <c r="L16" s="72">
        <f t="shared" ref="L16:L18" si="7">+I16+J16</f>
        <v>3.967123287671233</v>
      </c>
      <c r="M16" s="29"/>
      <c r="N16" s="33">
        <f t="shared" ref="N16" si="8">+L16/(1+$L$8)^((O16)/365)</f>
        <v>3.6678297518869787</v>
      </c>
      <c r="O16" s="34">
        <f t="shared" ref="O16" si="9">+F16-$F$14</f>
        <v>365</v>
      </c>
      <c r="Q16" s="35">
        <f>+(N16/$N$19)*O16</f>
        <v>13.387578612332192</v>
      </c>
    </row>
    <row r="17" spans="1:17" ht="14.5">
      <c r="A17" s="1"/>
      <c r="B17" s="25">
        <v>45974</v>
      </c>
      <c r="C17" s="26">
        <f t="shared" si="1"/>
        <v>0.08</v>
      </c>
      <c r="D17" s="25">
        <f>B17</f>
        <v>45974</v>
      </c>
      <c r="E17" s="27"/>
      <c r="F17" s="32">
        <f t="shared" si="3"/>
        <v>45974</v>
      </c>
      <c r="G17" s="82">
        <f t="shared" si="4"/>
        <v>100</v>
      </c>
      <c r="H17" s="79">
        <f>+D17-D16</f>
        <v>184</v>
      </c>
      <c r="I17" s="70">
        <f t="shared" si="5"/>
        <v>4.0328767123287674</v>
      </c>
      <c r="J17" s="82"/>
      <c r="K17" s="82">
        <f t="shared" si="6"/>
        <v>100</v>
      </c>
      <c r="L17" s="72">
        <f t="shared" si="7"/>
        <v>4.0328767123287674</v>
      </c>
      <c r="M17" s="29"/>
      <c r="N17" s="33">
        <f t="shared" ref="N17" si="10">+L17/(1+$L$8)^((O17)/365)</f>
        <v>3.5840590263905918</v>
      </c>
      <c r="O17" s="34">
        <f t="shared" ref="O17" si="11">+F17-$F$14</f>
        <v>549</v>
      </c>
      <c r="Q17" s="35">
        <f>+(N17/$N$19)*O17</f>
        <v>19.676484081258725</v>
      </c>
    </row>
    <row r="18" spans="1:17" thickBot="1">
      <c r="A18" s="1"/>
      <c r="B18" s="25">
        <v>46155</v>
      </c>
      <c r="C18" s="26">
        <f t="shared" si="1"/>
        <v>0.08</v>
      </c>
      <c r="D18" s="25">
        <f>B18</f>
        <v>46155</v>
      </c>
      <c r="E18" s="27"/>
      <c r="F18" s="32">
        <f t="shared" si="3"/>
        <v>46155</v>
      </c>
      <c r="G18" s="82">
        <f t="shared" si="4"/>
        <v>100</v>
      </c>
      <c r="H18" s="79">
        <f>+D18-D17</f>
        <v>181</v>
      </c>
      <c r="I18" s="70">
        <f t="shared" si="5"/>
        <v>3.967123287671233</v>
      </c>
      <c r="J18" s="82">
        <f>+G8</f>
        <v>100</v>
      </c>
      <c r="K18" s="82">
        <f t="shared" si="6"/>
        <v>0</v>
      </c>
      <c r="L18" s="72">
        <f t="shared" si="7"/>
        <v>103.96712328767123</v>
      </c>
      <c r="M18" s="29"/>
      <c r="N18" s="33">
        <f>+L18/(1+$L$8)^((O18)/365)</f>
        <v>88.871594185373155</v>
      </c>
      <c r="O18" s="34">
        <f>+F18-$F$14</f>
        <v>730</v>
      </c>
      <c r="Q18" s="35">
        <f>+(N18/$N$19)*O18</f>
        <v>648.76263842282606</v>
      </c>
    </row>
    <row r="19" spans="1:17" thickBot="1">
      <c r="A19" s="1"/>
      <c r="B19" s="36"/>
      <c r="C19" s="26"/>
      <c r="D19" s="1"/>
      <c r="E19" s="2"/>
      <c r="F19" s="87" t="s">
        <v>10</v>
      </c>
      <c r="G19" s="88"/>
      <c r="H19" s="89"/>
      <c r="I19" s="73">
        <f>SUM(I15:I18)</f>
        <v>16</v>
      </c>
      <c r="J19" s="83">
        <f>SUM(J15:J18)</f>
        <v>100</v>
      </c>
      <c r="K19" s="73"/>
      <c r="L19" s="74">
        <f>SUM(L14:L18)</f>
        <v>16</v>
      </c>
      <c r="M19" s="4"/>
      <c r="N19" s="37">
        <f>SUM(N15:N18)</f>
        <v>99.999999865959921</v>
      </c>
    </row>
    <row r="20" spans="1:17" ht="15" customHeight="1">
      <c r="A20" s="1"/>
      <c r="B20" s="1"/>
      <c r="C20" s="1"/>
      <c r="D20" s="1"/>
      <c r="E20" s="2"/>
      <c r="F20" s="3"/>
      <c r="G20" s="2"/>
      <c r="H20" s="2"/>
      <c r="I20" s="2"/>
      <c r="J20" s="2"/>
      <c r="K20" s="2"/>
      <c r="L20" s="2"/>
      <c r="M20" s="4"/>
    </row>
    <row r="21" spans="1:17" ht="15" customHeight="1">
      <c r="A21" s="1"/>
      <c r="B21" s="1"/>
      <c r="C21" s="1"/>
      <c r="D21" s="1"/>
      <c r="E21" s="2"/>
      <c r="F21" s="3"/>
      <c r="G21" s="2"/>
      <c r="H21" s="2"/>
      <c r="I21" s="2"/>
      <c r="J21" s="2"/>
      <c r="K21" s="2"/>
      <c r="L21" s="2"/>
      <c r="M21" s="4"/>
    </row>
    <row r="22" spans="1:17" ht="19.5" customHeight="1">
      <c r="F22" s="85" t="s">
        <v>29</v>
      </c>
      <c r="G22" s="85"/>
      <c r="H22" s="85"/>
      <c r="I22" s="85"/>
      <c r="J22" s="85"/>
      <c r="K22" s="85"/>
      <c r="L22" s="85"/>
      <c r="M22" s="5"/>
    </row>
    <row r="23" spans="1:17" ht="19.5" customHeight="1">
      <c r="F23" s="85"/>
      <c r="G23" s="85"/>
      <c r="H23" s="85"/>
      <c r="I23" s="85"/>
      <c r="J23" s="85"/>
      <c r="K23" s="85"/>
      <c r="L23" s="85"/>
      <c r="M23" s="5"/>
    </row>
    <row r="24" spans="1:17" ht="15" customHeight="1"/>
    <row r="25" spans="1:17" ht="15" customHeight="1"/>
    <row r="26" spans="1:17" ht="15" customHeight="1"/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sheetProtection algorithmName="SHA-512" hashValue="aNyiLQs4oLdQ+TsP6EXu3f6Z34EorgkPMzBAvQjheeA4pDfdw9eCuA+eG+Gbz3sFxGcQZCKmhIAPDLqv6TgUtA==" saltValue="l81F1Wwgo7vEUGvvX5S66A==" spinCount="100000" sheet="1" selectLockedCells="1"/>
  <mergeCells count="8">
    <mergeCell ref="F22:L23"/>
    <mergeCell ref="F19:H19"/>
    <mergeCell ref="J8:K8"/>
    <mergeCell ref="J9:K9"/>
    <mergeCell ref="F10:F11"/>
    <mergeCell ref="G10:G11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Meranol S.A. Clase 25</vt:lpstr>
      <vt:lpstr>ON Meranol S.A. Clase 26</vt:lpstr>
      <vt:lpstr>'ON Meranol S.A. Clase 25'!Área_de_impresión</vt:lpstr>
      <vt:lpstr>'ON Meranol S.A. Clase 26'!Área_de_impresión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2024-05-09T20:53:23Z</dcterms:modified>
</cp:coreProperties>
</file>