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SION\SERIE XV A y B\"/>
    </mc:Choice>
  </mc:AlternateContent>
  <xr:revisionPtr revIDLastSave="0" documentId="13_ncr:1_{8483F4E2-500A-441B-95B5-895B1318EA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Pyme SION Serie  Clase A" sheetId="13" r:id="rId1"/>
    <sheet name="ON Pyme SION Serie  Clase B" sheetId="14" r:id="rId2"/>
  </sheets>
  <definedNames>
    <definedName name="_xlnm.Print_Area" localSheetId="0">'ON Pyme SION Serie  Clase A'!$A$4:$P$22</definedName>
    <definedName name="_xlnm.Print_Area" localSheetId="1">'ON Pyme SION Serie  Clase B'!$A$4:$P$22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4" l="1"/>
  <c r="F16" i="14" l="1"/>
  <c r="D16" i="14"/>
  <c r="H22" i="14"/>
  <c r="O18" i="13" l="1"/>
  <c r="D22" i="14"/>
  <c r="D21" i="14"/>
  <c r="D20" i="14"/>
  <c r="D19" i="14"/>
  <c r="D18" i="14"/>
  <c r="D17" i="14"/>
  <c r="B16" i="14"/>
  <c r="D19" i="13"/>
  <c r="D18" i="13"/>
  <c r="D17" i="13"/>
  <c r="D16" i="13"/>
  <c r="C21" i="14" l="1"/>
  <c r="C22" i="14"/>
  <c r="H17" i="14"/>
  <c r="J22" i="14"/>
  <c r="J28" i="14" s="1"/>
  <c r="C20" i="14"/>
  <c r="C19" i="14"/>
  <c r="C18" i="14"/>
  <c r="C17" i="14"/>
  <c r="G16" i="14"/>
  <c r="K16" i="14" s="1"/>
  <c r="G17" i="14" s="1"/>
  <c r="I17" i="14" s="1"/>
  <c r="C16" i="14"/>
  <c r="C16" i="13"/>
  <c r="F16" i="13"/>
  <c r="G16" i="13"/>
  <c r="K16" i="13" s="1"/>
  <c r="G17" i="13" s="1"/>
  <c r="C17" i="13"/>
  <c r="C18" i="13"/>
  <c r="C19" i="13"/>
  <c r="C20" i="13"/>
  <c r="J20" i="13"/>
  <c r="J28" i="13" s="1"/>
  <c r="F17" i="14" l="1"/>
  <c r="O17" i="14" s="1"/>
  <c r="K17" i="14"/>
  <c r="G18" i="14" s="1"/>
  <c r="I18" i="14" s="1"/>
  <c r="L16" i="14"/>
  <c r="L16" i="13"/>
  <c r="B16" i="13"/>
  <c r="K17" i="13"/>
  <c r="G18" i="13" s="1"/>
  <c r="L17" i="14" l="1"/>
  <c r="K18" i="14"/>
  <c r="G19" i="14" s="1"/>
  <c r="F18" i="14"/>
  <c r="O18" i="14" s="1"/>
  <c r="H18" i="14"/>
  <c r="F17" i="13"/>
  <c r="H17" i="13"/>
  <c r="I17" i="13" s="1"/>
  <c r="K18" i="13"/>
  <c r="G19" i="13" s="1"/>
  <c r="O17" i="13" l="1"/>
  <c r="L18" i="14"/>
  <c r="K19" i="14"/>
  <c r="G20" i="14" s="1"/>
  <c r="K20" i="14" s="1"/>
  <c r="F19" i="14"/>
  <c r="O19" i="14" s="1"/>
  <c r="H19" i="14"/>
  <c r="I19" i="14" s="1"/>
  <c r="L17" i="13"/>
  <c r="F18" i="13"/>
  <c r="H18" i="13"/>
  <c r="K19" i="13"/>
  <c r="G20" i="13" s="1"/>
  <c r="F21" i="14" l="1"/>
  <c r="H21" i="14"/>
  <c r="L19" i="14"/>
  <c r="F20" i="14"/>
  <c r="O20" i="14" s="1"/>
  <c r="H20" i="14"/>
  <c r="I20" i="14" s="1"/>
  <c r="L20" i="14" s="1"/>
  <c r="G21" i="14"/>
  <c r="I18" i="13"/>
  <c r="L18" i="13" s="1"/>
  <c r="D20" i="13"/>
  <c r="F19" i="13"/>
  <c r="O19" i="13" s="1"/>
  <c r="H19" i="13"/>
  <c r="I19" i="13" s="1"/>
  <c r="L19" i="13" s="1"/>
  <c r="K20" i="13"/>
  <c r="F22" i="14" l="1"/>
  <c r="O22" i="14" s="1"/>
  <c r="I21" i="14"/>
  <c r="L21" i="14" s="1"/>
  <c r="K21" i="14"/>
  <c r="G22" i="14" s="1"/>
  <c r="F20" i="13"/>
  <c r="O20" i="13" s="1"/>
  <c r="H20" i="13"/>
  <c r="I20" i="13" s="1"/>
  <c r="L20" i="13" s="1"/>
  <c r="L9" i="13" s="1"/>
  <c r="L10" i="13" s="1"/>
  <c r="K22" i="14" l="1"/>
  <c r="I22" i="14"/>
  <c r="I28" i="13"/>
  <c r="L28" i="13"/>
  <c r="I28" i="14" l="1"/>
  <c r="L22" i="14"/>
  <c r="L9" i="14" s="1"/>
  <c r="L10" i="14" s="1"/>
  <c r="N18" i="13"/>
  <c r="N17" i="13"/>
  <c r="N19" i="13"/>
  <c r="N20" i="13"/>
  <c r="L28" i="14" l="1"/>
  <c r="N21" i="14"/>
  <c r="N28" i="13"/>
  <c r="L12" i="13" s="1"/>
  <c r="N22" i="14" l="1"/>
  <c r="N19" i="14"/>
  <c r="N18" i="14"/>
  <c r="N17" i="14"/>
  <c r="N20" i="14"/>
  <c r="Q17" i="13"/>
  <c r="Q18" i="13"/>
  <c r="Q20" i="13"/>
  <c r="Q19" i="13"/>
  <c r="L11" i="13" l="1"/>
  <c r="N28" i="14"/>
  <c r="Q21" i="14" s="1"/>
  <c r="L12" i="14" l="1"/>
  <c r="Q22" i="14"/>
  <c r="Q18" i="14"/>
  <c r="Q23" i="14"/>
  <c r="Q25" i="14"/>
  <c r="Q27" i="14"/>
  <c r="Q24" i="14"/>
  <c r="Q26" i="14"/>
  <c r="Q20" i="14"/>
  <c r="Q19" i="14"/>
  <c r="Q17" i="14"/>
  <c r="L11" i="14" l="1"/>
</calcChain>
</file>

<file path=xl/sharedStrings.xml><?xml version="1.0" encoding="utf-8"?>
<sst xmlns="http://schemas.openxmlformats.org/spreadsheetml/2006/main" count="52" uniqueCount="29">
  <si>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</si>
  <si>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</si>
  <si>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</si>
  <si>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</si>
  <si>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</si>
  <si>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</si>
  <si>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</si>
  <si>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</si>
  <si>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</si>
  <si>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</si>
  <si>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</si>
  <si>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</si>
  <si>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Flujo (AR$)</t>
  </si>
  <si>
    <t>Capital Residual (AR$)</t>
  </si>
  <si>
    <t>Amortización (AR$)</t>
  </si>
  <si>
    <t>Intereses (AR$)</t>
  </si>
  <si>
    <t>Capital (AR$)</t>
  </si>
  <si>
    <t>TAMAR Proyectada</t>
  </si>
  <si>
    <t>Margen a licitar</t>
  </si>
  <si>
    <t>TNA (90 d)</t>
  </si>
  <si>
    <t>VN (AR$)</t>
  </si>
  <si>
    <t>Pesos Tamar - 12 meses</t>
  </si>
  <si>
    <t>Fecha</t>
  </si>
  <si>
    <t>día de pago</t>
  </si>
  <si>
    <t>Cupón Mínimo 1° Servicio</t>
  </si>
  <si>
    <t xml:space="preserve">Obligaciones Negociables Pyme CNV SION S.A. Serie XV Clase A </t>
  </si>
  <si>
    <t>Cupón Mínimo 1° y  2° Servicio</t>
  </si>
  <si>
    <t xml:space="preserve">Obligaciones Negociables Pyme CNV SION S.A. Serie XV Clase B </t>
  </si>
  <si>
    <t>Pesos Tamar - 18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</si>
</sst>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</numFmts>
  <fonts count="14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7">
    <xf numFmtId="0" fontId="0" fillId="0" borderId="0" xfId="0"/>
    <xf numFmtId="0" fontId="3" fillId="0" borderId="0" xfId="0" applyFont="1"/>
    <xf numFmtId="0" fontId="5" fillId="0" borderId="0" xfId="0" applyFont="1" applyProtection="1">
      <protection hidden="1"/>
    </xf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1" fillId="0" borderId="0" xfId="0" applyNumberFormat="1" applyFont="1" applyProtection="1">
      <protection hidden="1"/>
    </xf>
    <xf numFmtId="167" fontId="4" fillId="2" borderId="4" xfId="0" applyNumberFormat="1" applyFont="1" applyFill="1" applyBorder="1" applyProtection="1">
      <protection hidden="1"/>
    </xf>
    <xf numFmtId="2" fontId="11" fillId="0" borderId="0" xfId="0" applyNumberFormat="1" applyFont="1" applyAlignment="1">
      <alignment horizontal="right" indent="1"/>
    </xf>
    <xf numFmtId="167" fontId="11" fillId="5" borderId="0" xfId="0" applyNumberFormat="1" applyFont="1" applyFill="1" applyProtection="1">
      <protection hidden="1"/>
    </xf>
    <xf numFmtId="167" fontId="4" fillId="2" borderId="7" xfId="0" applyNumberFormat="1" applyFont="1" applyFill="1" applyBorder="1" applyProtection="1">
      <protection hidden="1"/>
    </xf>
    <xf numFmtId="1" fontId="11" fillId="0" borderId="0" xfId="0" applyNumberFormat="1" applyFont="1" applyAlignment="1">
      <alignment horizontal="right" indent="1"/>
    </xf>
    <xf numFmtId="168" fontId="3" fillId="0" borderId="0" xfId="0" applyNumberFormat="1" applyFont="1"/>
    <xf numFmtId="170" fontId="3" fillId="0" borderId="11" xfId="0" applyNumberFormat="1" applyFont="1" applyBorder="1"/>
    <xf numFmtId="0" fontId="4" fillId="0" borderId="0" xfId="0" applyFont="1"/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/>
    <xf numFmtId="0" fontId="5" fillId="0" borderId="0" xfId="3" applyFont="1" applyProtection="1">
      <protection hidden="1"/>
    </xf>
    <xf numFmtId="166" fontId="6" fillId="4" borderId="2" xfId="3" applyNumberFormat="1" applyFont="1" applyFill="1" applyBorder="1" applyAlignment="1" applyProtection="1">
      <alignment horizontal="left"/>
      <protection hidden="1"/>
    </xf>
    <xf numFmtId="170" fontId="7" fillId="3" borderId="2" xfId="4" applyNumberFormat="1" applyFont="1" applyFill="1" applyBorder="1" applyProtection="1">
      <protection locked="0" hidden="1"/>
    </xf>
    <xf numFmtId="14" fontId="7" fillId="2" borderId="2" xfId="3" applyNumberFormat="1" applyFont="1" applyFill="1" applyBorder="1" applyProtection="1">
      <protection hidden="1"/>
    </xf>
    <xf numFmtId="165" fontId="9" fillId="5" borderId="0" xfId="4" applyFont="1" applyFill="1" applyBorder="1" applyProtection="1">
      <protection hidden="1"/>
    </xf>
    <xf numFmtId="165" fontId="7" fillId="2" borderId="2" xfId="4" applyFont="1" applyFill="1" applyBorder="1" applyProtection="1">
      <protection hidden="1"/>
    </xf>
    <xf numFmtId="0" fontId="4" fillId="0" borderId="0" xfId="3" applyFont="1"/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 applyProtection="1">
      <protection hidden="1"/>
    </xf>
    <xf numFmtId="10" fontId="4" fillId="0" borderId="0" xfId="3" applyNumberFormat="1" applyFont="1" applyProtection="1">
      <protection hidden="1"/>
    </xf>
    <xf numFmtId="0" fontId="11" fillId="5" borderId="0" xfId="3" applyFont="1" applyFill="1" applyProtection="1">
      <protection hidden="1"/>
    </xf>
    <xf numFmtId="0" fontId="3" fillId="5" borderId="0" xfId="3" applyFont="1" applyFill="1"/>
    <xf numFmtId="0" fontId="3" fillId="0" borderId="0" xfId="3" applyFont="1" applyAlignment="1">
      <alignment horizontal="center" vertical="center" wrapText="1"/>
    </xf>
    <xf numFmtId="166" fontId="12" fillId="0" borderId="1" xfId="3" applyNumberFormat="1" applyFont="1" applyBorder="1" applyAlignment="1">
      <alignment horizontal="center" vertical="center" wrapText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9" fontId="3" fillId="0" borderId="0" xfId="3" applyNumberFormat="1" applyFont="1"/>
    <xf numFmtId="167" fontId="11" fillId="0" borderId="0" xfId="3" applyNumberFormat="1" applyFont="1"/>
    <xf numFmtId="167" fontId="4" fillId="0" borderId="0" xfId="3" applyNumberFormat="1" applyFont="1" applyProtection="1"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5" borderId="0" xfId="3" applyNumberFormat="1" applyFont="1" applyFill="1" applyAlignment="1" applyProtection="1">
      <alignment horizontal="right" indent="1"/>
      <protection hidden="1"/>
    </xf>
    <xf numFmtId="166" fontId="4" fillId="0" borderId="0" xfId="3" applyNumberFormat="1" applyFont="1"/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71" fontId="4" fillId="2" borderId="8" xfId="3" applyNumberFormat="1" applyFont="1" applyFill="1" applyBorder="1" applyProtection="1"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172" fontId="4" fillId="2" borderId="0" xfId="3" applyNumberFormat="1" applyFont="1" applyFill="1" applyAlignment="1" applyProtection="1">
      <alignment horizontal="right" indent="1"/>
      <protection hidden="1"/>
    </xf>
    <xf numFmtId="173" fontId="4" fillId="2" borderId="0" xfId="3" applyNumberFormat="1" applyFont="1" applyFill="1" applyProtection="1">
      <protection hidden="1"/>
    </xf>
    <xf numFmtId="0" fontId="8" fillId="6" borderId="9" xfId="2" applyFont="1" applyFill="1" applyBorder="1" applyAlignment="1" applyProtection="1">
      <alignment horizontal="center" vertical="center" wrapText="1"/>
      <protection hidden="1"/>
    </xf>
    <xf numFmtId="0" fontId="8" fillId="6" borderId="10" xfId="2" applyFont="1" applyFill="1" applyBorder="1" applyAlignment="1" applyProtection="1">
      <alignment horizontal="center" vertical="center" wrapText="1"/>
      <protection hidden="1"/>
    </xf>
    <xf numFmtId="174" fontId="3" fillId="0" borderId="0" xfId="3" applyNumberFormat="1" applyFont="1"/>
    <xf numFmtId="171" fontId="8" fillId="6" borderId="9" xfId="2" applyNumberFormat="1" applyFont="1" applyFill="1" applyBorder="1" applyAlignment="1" applyProtection="1">
      <alignment horizontal="center" vertical="center" wrapText="1"/>
      <protection hidden="1"/>
    </xf>
    <xf numFmtId="173" fontId="8" fillId="6" borderId="9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0" fontId="7" fillId="3" borderId="2" xfId="1" applyNumberFormat="1" applyFont="1" applyFill="1" applyBorder="1" applyProtection="1">
      <protection locked="0" hidden="1"/>
    </xf>
    <xf numFmtId="170" fontId="11" fillId="0" borderId="0" xfId="4" applyNumberFormat="1" applyFont="1" applyAlignment="1" applyProtection="1"/>
    <xf numFmtId="175" fontId="7" fillId="3" borderId="2" xfId="1" applyNumberFormat="1" applyFont="1" applyFill="1" applyBorder="1" applyProtection="1">
      <protection locked="0" hidden="1"/>
    </xf>
    <xf numFmtId="174" fontId="9" fillId="5" borderId="0" xfId="1" applyNumberFormat="1" applyFont="1" applyFill="1" applyBorder="1" applyProtection="1">
      <protection hidden="1"/>
    </xf>
    <xf numFmtId="0" fontId="8" fillId="5" borderId="0" xfId="0" applyFont="1" applyFill="1" applyAlignment="1" applyProtection="1">
      <alignment horizontal="right" indent="1"/>
      <protection hidden="1"/>
    </xf>
    <xf numFmtId="10" fontId="7" fillId="5" borderId="0" xfId="1" applyNumberFormat="1" applyFont="1" applyFill="1" applyBorder="1" applyProtection="1">
      <protection hidden="1"/>
    </xf>
    <xf numFmtId="174" fontId="3" fillId="0" borderId="0" xfId="3" applyNumberFormat="1" applyFont="1" applyAlignment="1">
      <alignment horizontal="center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9" xfId="2" applyFont="1" applyFill="1" applyBorder="1" applyAlignment="1" applyProtection="1">
      <alignment horizontal="center" vertical="center" wrapText="1"/>
      <protection hidden="1"/>
    </xf>
  </cellXfs>
  <cellStyles count="7">
    <cellStyle name="Millares 2" xfId="4" xr:uid="{7991B591-6442-474D-A7CE-578C4E2BF367}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27BCDC23-A7FF-4860-BD97-642DD810E3D4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1690686</xdr:colOff>
      <xdr:row>1</xdr:row>
      <xdr:rowOff>53810</xdr:rowOff>
    </xdr:from>
    <xdr:ext cx="1289960" cy="449678"/>
    <xdr:pic>
      <xdr:nvPicPr>
        <xdr:cNvPr id="2" name="Imagen 1">
          <a:extLst>
            <a:ext uri="{FF2B5EF4-FFF2-40B4-BE49-F238E27FC236}">
              <a16:creationId xmlns:a16="http://schemas.microsoft.com/office/drawing/2014/main" id="{7834DF5A-3F58-4437-A2E0-8048B19F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6761" y="244310"/>
          <a:ext cx="1289960" cy="449678"/>
        </a:xfrm>
        <a:prstGeom prst="rect">
          <a:avLst/>
        </a:prstGeom>
      </xdr:spPr>
    </xdr:pic>
    <xdr:clientData/>
  </xdr:oneCellAnchor>
  <xdr:twoCellAnchor editAs="oneCell">
    <xdr:from>
      <xdr:col>5</xdr:col>
      <xdr:colOff>10584</xdr:colOff>
      <xdr:row>1</xdr:row>
      <xdr:rowOff>31750</xdr:rowOff>
    </xdr:from>
    <xdr:to>
      <xdr:col>5</xdr:col>
      <xdr:colOff>1852085</xdr:colOff>
      <xdr:row>4</xdr:row>
      <xdr:rowOff>58893</xdr:rowOff>
    </xdr:to>
    <xdr:pic>
      <xdr:nvPicPr>
        <xdr:cNvPr id="3" name="Imagen 2" descr="Sion - Internet para tu casa">
          <a:extLst>
            <a:ext uri="{FF2B5EF4-FFF2-40B4-BE49-F238E27FC236}">
              <a16:creationId xmlns:a16="http://schemas.microsoft.com/office/drawing/2014/main" id="{AB8E7F8E-560C-49F8-B140-C7126FF8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1167" y="222250"/>
          <a:ext cx="1841501" cy="598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1690686</xdr:colOff>
      <xdr:row>1</xdr:row>
      <xdr:rowOff>53810</xdr:rowOff>
    </xdr:from>
    <xdr:ext cx="1289960" cy="449678"/>
    <xdr:pic>
      <xdr:nvPicPr>
        <xdr:cNvPr id="2" name="Imagen 1">
          <a:extLst>
            <a:ext uri="{FF2B5EF4-FFF2-40B4-BE49-F238E27FC236}">
              <a16:creationId xmlns:a16="http://schemas.microsoft.com/office/drawing/2014/main" id="{2ACEF2A3-44DB-4EF1-B65B-7CF5BE70F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73436" y="244310"/>
          <a:ext cx="1289960" cy="449678"/>
        </a:xfrm>
        <a:prstGeom prst="rect">
          <a:avLst/>
        </a:prstGeom>
      </xdr:spPr>
    </xdr:pic>
    <xdr:clientData/>
  </xdr:oneCellAnchor>
  <xdr:twoCellAnchor editAs="oneCell">
    <xdr:from>
      <xdr:col>5</xdr:col>
      <xdr:colOff>31750</xdr:colOff>
      <xdr:row>1</xdr:row>
      <xdr:rowOff>10583</xdr:rowOff>
    </xdr:from>
    <xdr:to>
      <xdr:col>5</xdr:col>
      <xdr:colOff>1873251</xdr:colOff>
      <xdr:row>4</xdr:row>
      <xdr:rowOff>37726</xdr:rowOff>
    </xdr:to>
    <xdr:pic>
      <xdr:nvPicPr>
        <xdr:cNvPr id="4" name="Imagen 3" descr="Sion - Internet para tu casa">
          <a:extLst>
            <a:ext uri="{FF2B5EF4-FFF2-40B4-BE49-F238E27FC236}">
              <a16:creationId xmlns:a16="http://schemas.microsoft.com/office/drawing/2014/main" id="{F8E4C899-6981-4810-A614-4014E5E44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2333" y="201083"/>
          <a:ext cx="1841501" cy="598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C1B2B-9D2F-4F07-8837-CEF671E3F495}">
  <sheetPr>
    <pageSetUpPr fitToPage="1"/>
  </sheetPr>
  <dimension ref="A1:CU57"/>
  <sheetViews>
    <sheetView showGridLines="0" tabSelected="1" topLeftCell="E1" zoomScale="90" zoomScaleNormal="90" workbookViewId="0">
      <selection activeCell="G11" sqref="G11"/>
    </sheetView>
  </sheetViews>
  <sheetFormatPr baseColWidth="10" defaultColWidth="11.42578125" defaultRowHeight="0" customHeight="1" zeroHeight="1" outlineLevelCol="1"/>
  <cols>
    <col min="1" max="1" width="5.5703125" style="20" hidden="1" customWidth="1"/>
    <col min="2" max="2" width="35.5703125" style="20" hidden="1" customWidth="1" outlineLevel="1"/>
    <col min="3" max="3" width="21.85546875" style="20" hidden="1" customWidth="1" outlineLevel="1"/>
    <col min="4" max="4" width="34.7109375" style="20" hidden="1" customWidth="1" outlineLevel="1"/>
    <col min="5" max="5" width="16.7109375" style="27" customWidth="1" outlineLevel="1"/>
    <col min="6" max="6" width="34.28515625" style="43" customWidth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3.5703125" style="20" hidden="1" customWidth="1" outlineLevel="1"/>
    <col min="15" max="15" width="17" style="20" hidden="1" customWidth="1" outlineLevel="1"/>
    <col min="16" max="16" width="14" style="20" hidden="1" customWidth="1" outlineLevel="1"/>
    <col min="17" max="17" width="58.4257812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0" style="20" hidden="1" customWidth="1" outlineLevel="1"/>
    <col min="92" max="92" width="0" style="20" hidden="1" customWidth="1" outlineLevel="1" collapsed="1"/>
    <col min="93" max="93" width="0" style="20" hidden="1" customWidth="1" outlineLevel="1"/>
    <col min="94" max="94" width="0" style="20" hidden="1" customWidth="1" outlineLevel="1" collapsed="1"/>
    <col min="95" max="95" width="0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11.42578125" style="20" outlineLevel="1" collapsed="1"/>
    <col min="100" max="16384" width="11.42578125" style="20" outlineLevel="1"/>
  </cols>
  <sheetData>
    <row r="1" spans="2:18" ht="15" customHeight="1"/>
    <row r="2" spans="2:18" ht="15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 ht="15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 ht="15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 ht="15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 ht="15">
      <c r="E6" s="16"/>
      <c r="F6" s="2" t="s">
        <v>25</v>
      </c>
      <c r="G6" s="21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 ht="15">
      <c r="E7" s="16"/>
      <c r="F7" s="2" t="s">
        <v>21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 ht="15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 ht="15">
      <c r="E9" s="16"/>
      <c r="F9" s="22" t="s">
        <v>20</v>
      </c>
      <c r="G9" s="23">
        <v>1000</v>
      </c>
      <c r="H9" s="16"/>
      <c r="I9" s="16"/>
      <c r="J9" s="64" t="s">
        <v>0</v>
      </c>
      <c r="K9" s="64"/>
      <c r="L9" s="3">
        <f>+XIRR(L16:L20,F16:F20)</f>
        <v>0.41094707846641543</v>
      </c>
      <c r="M9" s="4"/>
      <c r="N9" s="19"/>
      <c r="O9" s="19"/>
      <c r="P9" s="19"/>
      <c r="Q9" s="19"/>
      <c r="R9" s="19"/>
    </row>
    <row r="10" spans="2:18" ht="15">
      <c r="E10" s="16"/>
      <c r="F10" s="22" t="s">
        <v>6</v>
      </c>
      <c r="G10" s="24">
        <v>45726</v>
      </c>
      <c r="H10" s="16"/>
      <c r="I10" s="16"/>
      <c r="J10" s="64" t="s">
        <v>19</v>
      </c>
      <c r="K10" s="64"/>
      <c r="L10" s="3">
        <f>+(((1+L9)^(90/365)-1)*(365/90))</f>
        <v>0.35929506121925503</v>
      </c>
      <c r="M10" s="59"/>
      <c r="N10" s="19"/>
      <c r="O10" s="19"/>
      <c r="P10" s="19"/>
      <c r="Q10" s="19"/>
      <c r="R10" s="19"/>
    </row>
    <row r="11" spans="2:18" ht="15">
      <c r="E11" s="16"/>
      <c r="F11" s="22" t="s">
        <v>18</v>
      </c>
      <c r="G11" s="56">
        <v>0.06</v>
      </c>
      <c r="H11" s="16"/>
      <c r="I11" s="16"/>
      <c r="J11" s="64" t="s">
        <v>2</v>
      </c>
      <c r="K11" s="64"/>
      <c r="L11" s="26">
        <f>+SUM(Q17:Q20)/(365/12)</f>
        <v>10.614426308552828</v>
      </c>
      <c r="M11" s="25"/>
      <c r="N11" s="19"/>
      <c r="O11" s="19"/>
      <c r="P11" s="19"/>
      <c r="Q11" s="19"/>
      <c r="R11" s="19"/>
    </row>
    <row r="12" spans="2:18" ht="15">
      <c r="E12" s="16"/>
      <c r="F12" s="22" t="s">
        <v>17</v>
      </c>
      <c r="G12" s="58">
        <v>0.29562500000000003</v>
      </c>
      <c r="H12" s="30"/>
      <c r="I12" s="21"/>
      <c r="J12" s="64" t="s">
        <v>8</v>
      </c>
      <c r="K12" s="64"/>
      <c r="L12" s="3">
        <f>+N28/G16</f>
        <v>1.0000000014289758</v>
      </c>
      <c r="M12" s="28"/>
      <c r="N12" s="29"/>
      <c r="O12" s="19"/>
      <c r="P12" s="19"/>
      <c r="Q12" s="19"/>
      <c r="R12" s="19"/>
    </row>
    <row r="13" spans="2:18" ht="15">
      <c r="E13" s="16"/>
      <c r="F13" s="22" t="s">
        <v>24</v>
      </c>
      <c r="G13" s="3">
        <v>0.37</v>
      </c>
      <c r="H13" s="30"/>
      <c r="I13" s="21"/>
      <c r="J13" s="60"/>
      <c r="K13" s="60"/>
      <c r="L13" s="61"/>
      <c r="M13" s="28"/>
      <c r="N13" s="29"/>
      <c r="O13" s="19"/>
      <c r="P13" s="19"/>
      <c r="Q13" s="19"/>
      <c r="R13" s="19"/>
    </row>
    <row r="14" spans="2:18" ht="15.75" thickBot="1">
      <c r="E14" s="16"/>
      <c r="F14" s="17"/>
      <c r="G14" s="16"/>
      <c r="H14" s="16"/>
      <c r="I14" s="16"/>
      <c r="J14" s="16"/>
      <c r="K14" s="16"/>
      <c r="L14" s="16"/>
      <c r="M14" s="31"/>
      <c r="N14" s="29"/>
      <c r="O14" s="19"/>
      <c r="P14" s="19"/>
      <c r="Q14" s="19"/>
      <c r="R14" s="19"/>
    </row>
    <row r="15" spans="2:18" s="33" customFormat="1" ht="28.5" customHeight="1" thickBot="1">
      <c r="B15" s="34" t="s">
        <v>22</v>
      </c>
      <c r="C15" s="34" t="s">
        <v>7</v>
      </c>
      <c r="D15" s="34" t="s">
        <v>23</v>
      </c>
      <c r="E15" s="35"/>
      <c r="F15" s="47" t="s">
        <v>3</v>
      </c>
      <c r="G15" s="50" t="s">
        <v>16</v>
      </c>
      <c r="H15" s="50" t="s">
        <v>4</v>
      </c>
      <c r="I15" s="50" t="s">
        <v>15</v>
      </c>
      <c r="J15" s="50" t="s">
        <v>14</v>
      </c>
      <c r="K15" s="50" t="s">
        <v>13</v>
      </c>
      <c r="L15" s="51" t="s">
        <v>12</v>
      </c>
      <c r="M15" s="36"/>
      <c r="N15" s="5" t="s">
        <v>1</v>
      </c>
      <c r="O15" s="5" t="s">
        <v>5</v>
      </c>
      <c r="P15" s="6"/>
      <c r="Q15" s="5" t="s">
        <v>9</v>
      </c>
      <c r="R15" s="37"/>
    </row>
    <row r="16" spans="2:18" ht="15">
      <c r="B16" s="7">
        <f>+D16</f>
        <v>45726</v>
      </c>
      <c r="C16" s="52">
        <f>+$G$11+$G$12</f>
        <v>0.35562500000000002</v>
      </c>
      <c r="D16" s="7">
        <f>+G10</f>
        <v>45726</v>
      </c>
      <c r="E16" s="40"/>
      <c r="F16" s="8">
        <f>+G10</f>
        <v>45726</v>
      </c>
      <c r="G16" s="49">
        <f>+G9</f>
        <v>1000</v>
      </c>
      <c r="H16" s="45"/>
      <c r="I16" s="44"/>
      <c r="J16" s="44"/>
      <c r="K16" s="49">
        <f>+G16-J16</f>
        <v>1000</v>
      </c>
      <c r="L16" s="46">
        <f>-G16</f>
        <v>-1000</v>
      </c>
      <c r="M16" s="41"/>
      <c r="N16" s="9"/>
      <c r="O16" s="9"/>
      <c r="P16" s="1"/>
      <c r="Q16" s="1"/>
      <c r="R16" s="19"/>
    </row>
    <row r="17" spans="2:18" ht="15">
      <c r="B17" s="7">
        <v>45836</v>
      </c>
      <c r="C17" s="52">
        <f>+$G$11+$G$12</f>
        <v>0.35562500000000002</v>
      </c>
      <c r="D17" s="10">
        <f>+B17+2</f>
        <v>45838</v>
      </c>
      <c r="E17" s="40"/>
      <c r="F17" s="11">
        <f>+D17</f>
        <v>45838</v>
      </c>
      <c r="G17" s="49">
        <f>+K16</f>
        <v>1000</v>
      </c>
      <c r="H17" s="48">
        <f>+B17-B16</f>
        <v>110</v>
      </c>
      <c r="I17" s="44">
        <f>+G17*(IF((G11+G12)&lt;G13,G13,G11+G12))*(H17)/365</f>
        <v>111.50684931506849</v>
      </c>
      <c r="J17" s="44">
        <v>0</v>
      </c>
      <c r="K17" s="49">
        <f>+G17-J17</f>
        <v>1000</v>
      </c>
      <c r="L17" s="46">
        <f>+I17+J17</f>
        <v>111.50684931506849</v>
      </c>
      <c r="M17" s="41"/>
      <c r="N17" s="57">
        <f>+L17/(1+$L$9)^((O17)/365)</f>
        <v>100.32849124790046</v>
      </c>
      <c r="O17" s="12">
        <f>+F17-$F$16</f>
        <v>112</v>
      </c>
      <c r="P17" s="1"/>
      <c r="Q17" s="13">
        <f>+(N17/$N$28)*O17</f>
        <v>11.236791003707749</v>
      </c>
      <c r="R17" s="19"/>
    </row>
    <row r="18" spans="2:18" ht="15">
      <c r="B18" s="7">
        <v>45928</v>
      </c>
      <c r="C18" s="52">
        <f>+$G$11+$G$12</f>
        <v>0.35562500000000002</v>
      </c>
      <c r="D18" s="10">
        <f>+B18+1</f>
        <v>45929</v>
      </c>
      <c r="E18" s="40"/>
      <c r="F18" s="11">
        <f>+D18</f>
        <v>45929</v>
      </c>
      <c r="G18" s="49">
        <f>+K17</f>
        <v>1000</v>
      </c>
      <c r="H18" s="48">
        <f>+B18-B17</f>
        <v>92</v>
      </c>
      <c r="I18" s="44">
        <f>+G18*($G$11+$G$12)*(H18)/365</f>
        <v>89.636986301369859</v>
      </c>
      <c r="J18" s="44">
        <v>0</v>
      </c>
      <c r="K18" s="49">
        <f>+G18-J18</f>
        <v>1000</v>
      </c>
      <c r="L18" s="46">
        <f>+I18+J18</f>
        <v>89.636986301369859</v>
      </c>
      <c r="M18" s="41"/>
      <c r="N18" s="57">
        <f>+L18/(1+$L$9)^((O18)/365)</f>
        <v>74.017550152282766</v>
      </c>
      <c r="O18" s="12">
        <f>+F18-$F$16</f>
        <v>203</v>
      </c>
      <c r="P18" s="1"/>
      <c r="Q18" s="13">
        <f>+(N18/$N$28)*O18</f>
        <v>15.025562659442235</v>
      </c>
      <c r="R18" s="19"/>
    </row>
    <row r="19" spans="2:18" ht="15">
      <c r="B19" s="7">
        <v>46019</v>
      </c>
      <c r="C19" s="52">
        <f>+$G$11+$G$12</f>
        <v>0.35562500000000002</v>
      </c>
      <c r="D19" s="10">
        <f>+B19+1</f>
        <v>46020</v>
      </c>
      <c r="E19" s="40"/>
      <c r="F19" s="11">
        <f>+D19</f>
        <v>46020</v>
      </c>
      <c r="G19" s="49">
        <f>+K18</f>
        <v>1000</v>
      </c>
      <c r="H19" s="48">
        <f>+B19-B18</f>
        <v>91</v>
      </c>
      <c r="I19" s="44">
        <f>+G19*($G$11+$G$12)*(H19)/365</f>
        <v>88.662671232876718</v>
      </c>
      <c r="J19" s="44">
        <v>0</v>
      </c>
      <c r="K19" s="49">
        <f>+G19-J19</f>
        <v>1000</v>
      </c>
      <c r="L19" s="46">
        <f>+I19+J19</f>
        <v>88.662671232876718</v>
      </c>
      <c r="M19" s="41"/>
      <c r="N19" s="57">
        <f>+L19/(1+$L$9)^((O19)/365)</f>
        <v>67.191292460372011</v>
      </c>
      <c r="O19" s="12">
        <f>+F19-$F$16</f>
        <v>294</v>
      </c>
      <c r="P19" s="1"/>
      <c r="Q19" s="13">
        <f>+(N19/$N$28)*O19</f>
        <v>19.75423995512104</v>
      </c>
      <c r="R19" s="19"/>
    </row>
    <row r="20" spans="2:18" ht="15.75" thickBot="1">
      <c r="B20" s="7">
        <v>46091</v>
      </c>
      <c r="C20" s="52">
        <f>+$G$11+$G$12</f>
        <v>0.35562500000000002</v>
      </c>
      <c r="D20" s="10">
        <f>+B20</f>
        <v>46091</v>
      </c>
      <c r="E20" s="40"/>
      <c r="F20" s="11">
        <f>+D20</f>
        <v>46091</v>
      </c>
      <c r="G20" s="49">
        <f>+K19</f>
        <v>1000</v>
      </c>
      <c r="H20" s="48">
        <f>+B20-B19</f>
        <v>72</v>
      </c>
      <c r="I20" s="44">
        <f>+G20*($G$11+$G$12)*(H20)/365</f>
        <v>70.150684931506845</v>
      </c>
      <c r="J20" s="49">
        <f>+G9</f>
        <v>1000</v>
      </c>
      <c r="K20" s="49">
        <f>+G20-J20</f>
        <v>0</v>
      </c>
      <c r="L20" s="46">
        <f>+I20+J20</f>
        <v>1070.1506849315069</v>
      </c>
      <c r="M20" s="41"/>
      <c r="N20" s="57">
        <f>+L20/(1+$L$9)^((O20)/365)</f>
        <v>758.46266756842056</v>
      </c>
      <c r="O20" s="12">
        <f>+F20-$F$16</f>
        <v>365</v>
      </c>
      <c r="P20" s="1"/>
      <c r="Q20" s="13">
        <f>+(N20/$N$28)*O20</f>
        <v>276.8388732668775</v>
      </c>
      <c r="R20" s="19"/>
    </row>
    <row r="21" spans="2:18" ht="15" hidden="1">
      <c r="B21" s="7"/>
      <c r="C21" s="38"/>
      <c r="D21" s="10"/>
      <c r="E21" s="40"/>
      <c r="F21" s="11"/>
      <c r="G21" s="49"/>
      <c r="H21" s="48"/>
      <c r="I21" s="44"/>
      <c r="J21" s="44"/>
      <c r="K21" s="49"/>
      <c r="L21" s="46"/>
      <c r="M21" s="41"/>
      <c r="N21" s="57"/>
      <c r="O21" s="12"/>
      <c r="P21" s="1"/>
      <c r="Q21" s="13"/>
      <c r="R21" s="19"/>
    </row>
    <row r="22" spans="2:18" ht="15" hidden="1">
      <c r="B22" s="7"/>
      <c r="C22" s="38"/>
      <c r="D22" s="10"/>
      <c r="E22" s="40"/>
      <c r="F22" s="11"/>
      <c r="G22" s="49"/>
      <c r="H22" s="48"/>
      <c r="I22" s="44"/>
      <c r="J22" s="44"/>
      <c r="K22" s="49"/>
      <c r="L22" s="46"/>
      <c r="M22" s="41"/>
      <c r="N22" s="57"/>
      <c r="O22" s="12"/>
      <c r="P22" s="1"/>
      <c r="Q22" s="13"/>
      <c r="R22" s="19"/>
    </row>
    <row r="23" spans="2:18" ht="15" hidden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57"/>
      <c r="O23" s="12"/>
      <c r="P23" s="1"/>
      <c r="Q23" s="13"/>
      <c r="R23" s="19"/>
    </row>
    <row r="24" spans="2:18" ht="15" hidden="1">
      <c r="B24" s="7"/>
      <c r="C24" s="38"/>
      <c r="D24" s="10"/>
      <c r="E24" s="40"/>
      <c r="F24" s="11"/>
      <c r="G24" s="49"/>
      <c r="H24" s="48"/>
      <c r="I24" s="44"/>
      <c r="J24" s="44"/>
      <c r="K24" s="49"/>
      <c r="L24" s="46"/>
      <c r="M24" s="41"/>
      <c r="N24" s="57"/>
      <c r="O24" s="12"/>
      <c r="P24" s="1"/>
      <c r="Q24" s="13"/>
      <c r="R24" s="19"/>
    </row>
    <row r="25" spans="2:18" ht="15" hidden="1">
      <c r="B25" s="7"/>
      <c r="C25" s="38"/>
      <c r="D25" s="10"/>
      <c r="E25" s="40"/>
      <c r="F25" s="11"/>
      <c r="G25" s="49"/>
      <c r="H25" s="48"/>
      <c r="I25" s="44"/>
      <c r="J25" s="49"/>
      <c r="K25" s="49"/>
      <c r="L25" s="46"/>
      <c r="M25" s="41"/>
      <c r="N25" s="57"/>
      <c r="O25" s="12"/>
      <c r="P25" s="1"/>
      <c r="Q25" s="13"/>
      <c r="R25" s="19"/>
    </row>
    <row r="26" spans="2:18" ht="15" hidden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57"/>
      <c r="O26" s="12"/>
      <c r="P26" s="1"/>
      <c r="Q26" s="13"/>
      <c r="R26" s="19"/>
    </row>
    <row r="27" spans="2:18" ht="15.75" hidden="1" thickBot="1">
      <c r="B27" s="7"/>
      <c r="C27" s="38"/>
      <c r="D27" s="10"/>
      <c r="E27" s="40"/>
      <c r="F27" s="11"/>
      <c r="G27" s="49"/>
      <c r="H27" s="48"/>
      <c r="I27" s="44"/>
      <c r="J27" s="49"/>
      <c r="K27" s="49"/>
      <c r="L27" s="46"/>
      <c r="M27" s="41"/>
      <c r="N27" s="57"/>
      <c r="O27" s="12"/>
      <c r="P27" s="1"/>
      <c r="Q27" s="13"/>
      <c r="R27" s="19"/>
    </row>
    <row r="28" spans="2:18" ht="15.75" thickBot="1">
      <c r="B28" s="39"/>
      <c r="C28" s="38"/>
      <c r="D28" s="39"/>
      <c r="E28" s="16"/>
      <c r="F28" s="65" t="s">
        <v>10</v>
      </c>
      <c r="G28" s="66"/>
      <c r="H28" s="66"/>
      <c r="I28" s="53">
        <f>SUM(I17:I24)</f>
        <v>359.95719178082197</v>
      </c>
      <c r="J28" s="54">
        <f>SUM(J17:J24)</f>
        <v>1000</v>
      </c>
      <c r="K28" s="53"/>
      <c r="L28" s="55">
        <f>SUM(L16:L24)</f>
        <v>359.95719178082197</v>
      </c>
      <c r="M28" s="42"/>
      <c r="N28" s="14">
        <f>SUM(N17:N24)</f>
        <v>1000.0000014289758</v>
      </c>
      <c r="O28" s="1"/>
      <c r="P28" s="1"/>
      <c r="Q28" s="1"/>
      <c r="R28" s="19"/>
    </row>
    <row r="29" spans="2:18" ht="15">
      <c r="E29" s="16"/>
      <c r="F29" s="17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 ht="15">
      <c r="E30" s="16"/>
      <c r="F30" s="16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 s="1" customFormat="1" ht="26.25" customHeight="1">
      <c r="E31" s="15"/>
      <c r="F31" s="63" t="s">
        <v>11</v>
      </c>
      <c r="G31" s="63"/>
      <c r="H31" s="63"/>
      <c r="I31" s="63"/>
      <c r="J31" s="63"/>
      <c r="K31" s="63"/>
      <c r="L31" s="63"/>
    </row>
    <row r="32" spans="2:18" s="1" customFormat="1" ht="26.25" customHeight="1">
      <c r="E32" s="15"/>
      <c r="F32" s="63"/>
      <c r="G32" s="63"/>
      <c r="H32" s="63"/>
      <c r="I32" s="63"/>
      <c r="J32" s="63"/>
      <c r="K32" s="63"/>
      <c r="L32" s="63"/>
    </row>
    <row r="33" spans="5:18" ht="15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 ht="15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 ht="15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 ht="15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>
      <c r="E37" s="16"/>
      <c r="F37" s="17"/>
      <c r="G37" s="16"/>
      <c r="H37" s="16"/>
      <c r="I37" s="16"/>
      <c r="J37" s="16"/>
      <c r="K37" s="16"/>
      <c r="L37" s="16"/>
      <c r="M37" s="18"/>
      <c r="N37" s="19"/>
      <c r="O37" s="19"/>
      <c r="P37" s="19"/>
      <c r="Q37" s="19"/>
      <c r="R37" s="19"/>
    </row>
    <row r="38" spans="5:18" ht="15">
      <c r="E38" s="16"/>
      <c r="F38" s="17"/>
      <c r="G38" s="16"/>
      <c r="H38" s="16"/>
      <c r="I38" s="16"/>
      <c r="J38" s="16"/>
      <c r="K38" s="16"/>
      <c r="L38" s="16"/>
      <c r="M38" s="18"/>
      <c r="N38" s="19"/>
      <c r="O38" s="19"/>
      <c r="P38" s="19"/>
      <c r="Q38" s="19"/>
      <c r="R38" s="19"/>
    </row>
    <row r="39" spans="5:18" ht="15">
      <c r="E39" s="16"/>
      <c r="F39" s="17"/>
      <c r="G39" s="16"/>
      <c r="H39" s="16"/>
      <c r="I39" s="16"/>
      <c r="J39" s="16"/>
      <c r="K39" s="16"/>
      <c r="L39" s="16"/>
      <c r="M39" s="18"/>
      <c r="N39" s="19"/>
      <c r="O39" s="19"/>
      <c r="P39" s="19"/>
      <c r="Q39" s="19"/>
      <c r="R39" s="19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algorithmName="SHA-512" hashValue="3xpAE3IoyG014DCEH5oixHLaGr6Cgwn7/WedlbUVffrAqx3nhYbYCT1s9/3lAMkhgVRiTVfTIX4sVIseqggp7Q==" saltValue="DDSjGHNBrZKS/hkucDIp9g==" spinCount="100000" sheet="1" selectLockedCells="1"/>
  <mergeCells count="6">
    <mergeCell ref="F31:L32"/>
    <mergeCell ref="J9:K9"/>
    <mergeCell ref="J10:K10"/>
    <mergeCell ref="J11:K11"/>
    <mergeCell ref="J12:K12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17315-1B46-4FBF-8E0E-DCD1BEE0DA69}">
  <sheetPr>
    <pageSetUpPr fitToPage="1"/>
  </sheetPr>
  <dimension ref="A1:CU57"/>
  <sheetViews>
    <sheetView showGridLines="0" topLeftCell="E1" zoomScale="90" zoomScaleNormal="90" workbookViewId="0">
      <selection activeCell="G9" sqref="G9"/>
    </sheetView>
  </sheetViews>
  <sheetFormatPr baseColWidth="10" defaultColWidth="11.42578125" defaultRowHeight="0" customHeight="1" zeroHeight="1" outlineLevelCol="1"/>
  <cols>
    <col min="1" max="1" width="5.5703125" style="20" hidden="1" customWidth="1"/>
    <col min="2" max="2" width="35.5703125" style="20" hidden="1" customWidth="1" outlineLevel="1"/>
    <col min="3" max="3" width="21.85546875" style="20" hidden="1" customWidth="1" outlineLevel="1"/>
    <col min="4" max="4" width="34.7109375" style="20" hidden="1" customWidth="1" outlineLevel="1"/>
    <col min="5" max="5" width="16.7109375" style="27" customWidth="1" outlineLevel="1"/>
    <col min="6" max="6" width="34.28515625" style="43" customWidth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3.5703125" style="20" hidden="1" customWidth="1" outlineLevel="1"/>
    <col min="15" max="15" width="17" style="20" hidden="1" customWidth="1" outlineLevel="1"/>
    <col min="16" max="16" width="14" style="20" hidden="1" customWidth="1" outlineLevel="1"/>
    <col min="17" max="17" width="58.4257812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0" style="20" hidden="1" customWidth="1" outlineLevel="1"/>
    <col min="92" max="92" width="0" style="20" hidden="1" customWidth="1" outlineLevel="1" collapsed="1"/>
    <col min="93" max="93" width="0" style="20" hidden="1" customWidth="1" outlineLevel="1"/>
    <col min="94" max="94" width="0" style="20" hidden="1" customWidth="1" outlineLevel="1" collapsed="1"/>
    <col min="95" max="95" width="0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11.42578125" style="20" outlineLevel="1" collapsed="1"/>
    <col min="100" max="16384" width="11.42578125" style="20" outlineLevel="1"/>
  </cols>
  <sheetData>
    <row r="1" spans="2:18" ht="15" customHeight="1"/>
    <row r="2" spans="2:18" ht="15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 ht="15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 ht="15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 ht="15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 ht="15">
      <c r="E6" s="16"/>
      <c r="F6" s="2" t="s">
        <v>27</v>
      </c>
      <c r="G6" s="21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 ht="15">
      <c r="E7" s="16"/>
      <c r="F7" s="2" t="s">
        <v>28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 ht="15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 ht="15">
      <c r="E9" s="16"/>
      <c r="F9" s="22" t="s">
        <v>20</v>
      </c>
      <c r="G9" s="23">
        <v>1000</v>
      </c>
      <c r="H9" s="16"/>
      <c r="I9" s="16"/>
      <c r="J9" s="64" t="s">
        <v>0</v>
      </c>
      <c r="K9" s="64"/>
      <c r="L9" s="3">
        <f>+XIRR(L16:L22,F16:F22)</f>
        <v>0.43062458634376521</v>
      </c>
      <c r="M9" s="4"/>
      <c r="N9" s="19"/>
      <c r="O9" s="19"/>
      <c r="P9" s="19"/>
      <c r="Q9" s="19"/>
      <c r="R9" s="19"/>
    </row>
    <row r="10" spans="2:18" ht="15">
      <c r="E10" s="16"/>
      <c r="F10" s="22" t="s">
        <v>6</v>
      </c>
      <c r="G10" s="24">
        <v>45726</v>
      </c>
      <c r="H10" s="16"/>
      <c r="I10" s="16"/>
      <c r="J10" s="64" t="s">
        <v>19</v>
      </c>
      <c r="K10" s="64"/>
      <c r="L10" s="3">
        <f>+(((1+L9)^(90/365)-1)*(365/90))</f>
        <v>0.37439780514657989</v>
      </c>
      <c r="M10" s="59"/>
      <c r="N10" s="19"/>
      <c r="O10" s="19"/>
      <c r="P10" s="19"/>
      <c r="Q10" s="19"/>
      <c r="R10" s="19"/>
    </row>
    <row r="11" spans="2:18" ht="15">
      <c r="E11" s="16"/>
      <c r="F11" s="22" t="s">
        <v>18</v>
      </c>
      <c r="G11" s="56">
        <v>0.08</v>
      </c>
      <c r="H11" s="16"/>
      <c r="I11" s="16"/>
      <c r="J11" s="64" t="s">
        <v>2</v>
      </c>
      <c r="K11" s="64"/>
      <c r="L11" s="26">
        <f>+SUM(Q17:Q22)/(365/12)</f>
        <v>14.636563645618212</v>
      </c>
      <c r="M11" s="25"/>
      <c r="N11" s="19"/>
      <c r="O11" s="19"/>
      <c r="P11" s="19"/>
      <c r="Q11" s="19"/>
      <c r="R11" s="19"/>
    </row>
    <row r="12" spans="2:18" ht="15">
      <c r="E12" s="16"/>
      <c r="F12" s="22" t="s">
        <v>17</v>
      </c>
      <c r="G12" s="58">
        <v>0.29562500000000003</v>
      </c>
      <c r="H12" s="30"/>
      <c r="I12" s="21"/>
      <c r="J12" s="64" t="s">
        <v>8</v>
      </c>
      <c r="K12" s="64"/>
      <c r="L12" s="3">
        <f>+N28/G16</f>
        <v>0.9999999992373414</v>
      </c>
      <c r="M12" s="28"/>
      <c r="N12" s="29"/>
      <c r="O12" s="19"/>
      <c r="P12" s="19"/>
      <c r="Q12" s="19"/>
      <c r="R12" s="19"/>
    </row>
    <row r="13" spans="2:18" ht="15">
      <c r="E13" s="16"/>
      <c r="F13" s="22" t="s">
        <v>26</v>
      </c>
      <c r="G13" s="3">
        <v>0.37</v>
      </c>
      <c r="H13" s="30"/>
      <c r="I13" s="21"/>
      <c r="J13" s="60"/>
      <c r="K13" s="60"/>
      <c r="L13" s="61"/>
      <c r="M13" s="28"/>
      <c r="N13" s="29"/>
      <c r="O13" s="19"/>
      <c r="P13" s="19"/>
      <c r="Q13" s="19"/>
      <c r="R13" s="19"/>
    </row>
    <row r="14" spans="2:18" ht="15.75" thickBot="1">
      <c r="E14" s="16"/>
      <c r="F14" s="17"/>
      <c r="G14" s="16"/>
      <c r="H14" s="16"/>
      <c r="I14" s="16"/>
      <c r="J14" s="16"/>
      <c r="K14" s="16"/>
      <c r="L14" s="16"/>
      <c r="M14" s="31"/>
      <c r="N14" s="29"/>
      <c r="O14" s="19"/>
      <c r="P14" s="19"/>
      <c r="Q14" s="19"/>
      <c r="R14" s="19"/>
    </row>
    <row r="15" spans="2:18" s="33" customFormat="1" ht="28.5" customHeight="1" thickBot="1">
      <c r="B15" s="34" t="s">
        <v>22</v>
      </c>
      <c r="C15" s="34" t="s">
        <v>7</v>
      </c>
      <c r="D15" s="34" t="s">
        <v>23</v>
      </c>
      <c r="E15" s="35"/>
      <c r="F15" s="47" t="s">
        <v>3</v>
      </c>
      <c r="G15" s="50" t="s">
        <v>16</v>
      </c>
      <c r="H15" s="50" t="s">
        <v>4</v>
      </c>
      <c r="I15" s="50" t="s">
        <v>15</v>
      </c>
      <c r="J15" s="50" t="s">
        <v>14</v>
      </c>
      <c r="K15" s="50" t="s">
        <v>13</v>
      </c>
      <c r="L15" s="51" t="s">
        <v>12</v>
      </c>
      <c r="M15" s="36"/>
      <c r="N15" s="5" t="s">
        <v>1</v>
      </c>
      <c r="O15" s="5" t="s">
        <v>5</v>
      </c>
      <c r="P15" s="6"/>
      <c r="Q15" s="5" t="s">
        <v>9</v>
      </c>
      <c r="R15" s="37"/>
    </row>
    <row r="16" spans="2:18" ht="15">
      <c r="B16" s="7">
        <f>+D16</f>
        <v>45726</v>
      </c>
      <c r="C16" s="62">
        <f>+$G$11+$G$12</f>
        <v>0.37562500000000004</v>
      </c>
      <c r="D16" s="7">
        <f>+G10</f>
        <v>45726</v>
      </c>
      <c r="E16" s="40"/>
      <c r="F16" s="8">
        <f>+G10</f>
        <v>45726</v>
      </c>
      <c r="G16" s="49">
        <f>+G9</f>
        <v>1000</v>
      </c>
      <c r="H16" s="45"/>
      <c r="I16" s="44"/>
      <c r="J16" s="44"/>
      <c r="K16" s="49">
        <f>+G16-J16</f>
        <v>1000</v>
      </c>
      <c r="L16" s="46">
        <f>-G16</f>
        <v>-1000</v>
      </c>
      <c r="M16" s="41"/>
      <c r="N16" s="9"/>
      <c r="O16" s="9"/>
      <c r="P16" s="1"/>
      <c r="Q16" s="1"/>
      <c r="R16" s="19"/>
    </row>
    <row r="17" spans="2:18" ht="15">
      <c r="B17" s="7">
        <v>45836</v>
      </c>
      <c r="C17" s="62">
        <f>+$G$11+$G$12</f>
        <v>0.37562500000000004</v>
      </c>
      <c r="D17" s="10">
        <f>+B17+2</f>
        <v>45838</v>
      </c>
      <c r="E17" s="40"/>
      <c r="F17" s="11">
        <f t="shared" ref="F17:F22" si="0">+D17</f>
        <v>45838</v>
      </c>
      <c r="G17" s="49">
        <f>+K16</f>
        <v>1000</v>
      </c>
      <c r="H17" s="48">
        <f>+B17-B16</f>
        <v>110</v>
      </c>
      <c r="I17" s="44">
        <f>+G17*(IF((G11+G12)&lt;G13,G13,G11+G12))*(H17)/365</f>
        <v>113.20205479452056</v>
      </c>
      <c r="J17" s="44">
        <v>0</v>
      </c>
      <c r="K17" s="49">
        <f>+G17-J17</f>
        <v>1000</v>
      </c>
      <c r="L17" s="46">
        <f t="shared" ref="L17:L22" si="1">+I17+J17</f>
        <v>113.20205479452056</v>
      </c>
      <c r="M17" s="41"/>
      <c r="N17" s="57">
        <f>+L17/(1+$L$9)^((O17)/365)</f>
        <v>101.42181081450029</v>
      </c>
      <c r="O17" s="12">
        <f>+F17-$F$16</f>
        <v>112</v>
      </c>
      <c r="P17" s="1"/>
      <c r="Q17" s="13">
        <f>+(N17/$N$28)*O17</f>
        <v>11.359242819887257</v>
      </c>
      <c r="R17" s="19"/>
    </row>
    <row r="18" spans="2:18" ht="15">
      <c r="B18" s="7">
        <v>45928</v>
      </c>
      <c r="C18" s="62">
        <f>+$G$11+$G$12</f>
        <v>0.37562500000000004</v>
      </c>
      <c r="D18" s="10">
        <f>+B18+1</f>
        <v>45929</v>
      </c>
      <c r="E18" s="40"/>
      <c r="F18" s="11">
        <f t="shared" si="0"/>
        <v>45929</v>
      </c>
      <c r="G18" s="49">
        <f>+K17</f>
        <v>1000</v>
      </c>
      <c r="H18" s="48">
        <f>+B18-B17</f>
        <v>92</v>
      </c>
      <c r="I18" s="44">
        <f>+G18*(IF((G11+G12)&lt;G13,G13,G11+G12))*(H18)/365</f>
        <v>94.678082191780845</v>
      </c>
      <c r="J18" s="44">
        <v>0</v>
      </c>
      <c r="K18" s="49">
        <f>+G18-J18</f>
        <v>1000</v>
      </c>
      <c r="L18" s="46">
        <f t="shared" si="1"/>
        <v>94.678082191780845</v>
      </c>
      <c r="M18" s="41"/>
      <c r="N18" s="57">
        <f>+L18/(1+$L$9)^((O18)/365)</f>
        <v>77.580327000963848</v>
      </c>
      <c r="O18" s="12">
        <f>+F18-$F$16</f>
        <v>203</v>
      </c>
      <c r="P18" s="1"/>
      <c r="Q18" s="13">
        <f>+(N18/$N$28)*O18</f>
        <v>15.748806393206625</v>
      </c>
      <c r="R18" s="19"/>
    </row>
    <row r="19" spans="2:18" ht="15">
      <c r="B19" s="7">
        <v>46019</v>
      </c>
      <c r="C19" s="62">
        <f>+$G$11+$G$12</f>
        <v>0.37562500000000004</v>
      </c>
      <c r="D19" s="10">
        <f>+B19+1</f>
        <v>46020</v>
      </c>
      <c r="E19" s="40"/>
      <c r="F19" s="11">
        <f t="shared" si="0"/>
        <v>46020</v>
      </c>
      <c r="G19" s="49">
        <f>+K18</f>
        <v>1000</v>
      </c>
      <c r="H19" s="48">
        <f>+B19-B18</f>
        <v>91</v>
      </c>
      <c r="I19" s="44">
        <f>+G19*($G$11+$G$12)*(H19)/365</f>
        <v>93.648972602739747</v>
      </c>
      <c r="J19" s="44">
        <v>0</v>
      </c>
      <c r="K19" s="49">
        <f>+G19-J19</f>
        <v>1000</v>
      </c>
      <c r="L19" s="46">
        <f t="shared" si="1"/>
        <v>93.648972602739747</v>
      </c>
      <c r="M19" s="41"/>
      <c r="N19" s="57">
        <f>+L19/(1+$L$9)^((O19)/365)</f>
        <v>70.182732671339167</v>
      </c>
      <c r="O19" s="12">
        <f>+F19-$F$16</f>
        <v>294</v>
      </c>
      <c r="P19" s="1"/>
      <c r="Q19" s="13">
        <f>+(N19/$N$28)*O19</f>
        <v>20.633723421110204</v>
      </c>
      <c r="R19" s="19"/>
    </row>
    <row r="20" spans="2:18" ht="15">
      <c r="B20" s="7">
        <v>46109</v>
      </c>
      <c r="C20" s="62">
        <f>+$G$11+$G$12</f>
        <v>0.37562500000000004</v>
      </c>
      <c r="D20" s="10">
        <f>+B20+2</f>
        <v>46111</v>
      </c>
      <c r="E20" s="40"/>
      <c r="F20" s="11">
        <f t="shared" si="0"/>
        <v>46111</v>
      </c>
      <c r="G20" s="49">
        <f>+K19</f>
        <v>1000</v>
      </c>
      <c r="H20" s="48">
        <f>+B20-B19</f>
        <v>90</v>
      </c>
      <c r="I20" s="44">
        <f t="shared" ref="I20:I22" si="2">+G20*($G$11+$G$12)*(H20)/365</f>
        <v>92.619863013698648</v>
      </c>
      <c r="J20" s="44">
        <v>0</v>
      </c>
      <c r="K20" s="49">
        <f t="shared" ref="K20:K22" si="3">+G20-J20</f>
        <v>1000</v>
      </c>
      <c r="L20" s="46">
        <f t="shared" si="1"/>
        <v>92.619863013698648</v>
      </c>
      <c r="M20" s="41"/>
      <c r="N20" s="57">
        <f>+L20/(1+$L$9)^((O20)/365)</f>
        <v>63.482861522833311</v>
      </c>
      <c r="O20" s="12">
        <f>+F20-$F$16</f>
        <v>385</v>
      </c>
      <c r="P20" s="1"/>
      <c r="Q20" s="13">
        <f>+(N20/$N$28)*O20</f>
        <v>24.440901704930891</v>
      </c>
      <c r="R20" s="19"/>
    </row>
    <row r="21" spans="2:18" ht="18" customHeight="1">
      <c r="B21" s="7">
        <v>46201</v>
      </c>
      <c r="C21" s="62">
        <f t="shared" ref="C21:C22" si="4">+$G$11+$G$12</f>
        <v>0.37562500000000004</v>
      </c>
      <c r="D21" s="10">
        <f>+B21+1</f>
        <v>46202</v>
      </c>
      <c r="E21" s="40"/>
      <c r="F21" s="11">
        <f t="shared" si="0"/>
        <v>46202</v>
      </c>
      <c r="G21" s="49">
        <f t="shared" ref="G21:G22" si="5">+K20</f>
        <v>1000</v>
      </c>
      <c r="H21" s="48">
        <f t="shared" ref="H21:H22" si="6">+B21-B20</f>
        <v>92</v>
      </c>
      <c r="I21" s="44">
        <f t="shared" si="2"/>
        <v>94.678082191780845</v>
      </c>
      <c r="J21" s="44">
        <v>0</v>
      </c>
      <c r="K21" s="49">
        <f t="shared" si="3"/>
        <v>1000</v>
      </c>
      <c r="L21" s="46">
        <f t="shared" si="1"/>
        <v>94.678082191780845</v>
      </c>
      <c r="M21" s="41"/>
      <c r="N21" s="57">
        <f t="shared" ref="N21:N22" si="7">+L21/(1+$L$9)^((O21)/365)</f>
        <v>59.350846265829929</v>
      </c>
      <c r="O21" s="12">
        <f>+F21-$F$16</f>
        <v>476</v>
      </c>
      <c r="P21" s="1"/>
      <c r="Q21" s="13">
        <f t="shared" ref="Q21:Q27" si="8">+(N21/$N$28)*O21</f>
        <v>28.251002844080919</v>
      </c>
      <c r="R21" s="19"/>
    </row>
    <row r="22" spans="2:18" ht="16.5" customHeight="1" thickBot="1">
      <c r="B22" s="7">
        <v>46275</v>
      </c>
      <c r="C22" s="62">
        <f t="shared" si="4"/>
        <v>0.37562500000000004</v>
      </c>
      <c r="D22" s="10">
        <f>+B22</f>
        <v>46275</v>
      </c>
      <c r="E22" s="40"/>
      <c r="F22" s="11">
        <f t="shared" si="0"/>
        <v>46275</v>
      </c>
      <c r="G22" s="49">
        <f t="shared" si="5"/>
        <v>1000</v>
      </c>
      <c r="H22" s="48">
        <f>+B22-B21</f>
        <v>74</v>
      </c>
      <c r="I22" s="44">
        <f t="shared" si="2"/>
        <v>76.154109589041113</v>
      </c>
      <c r="J22" s="49">
        <f>+G9</f>
        <v>1000</v>
      </c>
      <c r="K22" s="49">
        <f t="shared" si="3"/>
        <v>0</v>
      </c>
      <c r="L22" s="46">
        <f t="shared" si="1"/>
        <v>1076.1541095890411</v>
      </c>
      <c r="M22" s="41"/>
      <c r="N22" s="57">
        <f t="shared" si="7"/>
        <v>627.98142096187473</v>
      </c>
      <c r="O22" s="12">
        <f>+F22-$F$16</f>
        <v>549</v>
      </c>
      <c r="P22" s="1"/>
      <c r="Q22" s="13">
        <f t="shared" si="8"/>
        <v>344.76180037100477</v>
      </c>
      <c r="R22" s="19"/>
    </row>
    <row r="23" spans="2:18" ht="18" hidden="1" customHeight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57"/>
      <c r="O23" s="12"/>
      <c r="P23" s="1"/>
      <c r="Q23" s="13">
        <f t="shared" si="8"/>
        <v>0</v>
      </c>
      <c r="R23" s="19"/>
    </row>
    <row r="24" spans="2:18" ht="25.5" hidden="1" customHeight="1">
      <c r="B24" s="7"/>
      <c r="C24" s="38"/>
      <c r="D24" s="10"/>
      <c r="E24" s="40"/>
      <c r="F24" s="11"/>
      <c r="G24" s="49"/>
      <c r="H24" s="48"/>
      <c r="I24" s="44"/>
      <c r="J24" s="44"/>
      <c r="K24" s="49"/>
      <c r="L24" s="46"/>
      <c r="M24" s="41"/>
      <c r="N24" s="57"/>
      <c r="O24" s="12"/>
      <c r="P24" s="1"/>
      <c r="Q24" s="13">
        <f t="shared" si="8"/>
        <v>0</v>
      </c>
      <c r="R24" s="19"/>
    </row>
    <row r="25" spans="2:18" ht="23.25" hidden="1" customHeight="1">
      <c r="B25" s="7"/>
      <c r="C25" s="38"/>
      <c r="D25" s="10"/>
      <c r="E25" s="40"/>
      <c r="F25" s="11"/>
      <c r="G25" s="49"/>
      <c r="H25" s="48"/>
      <c r="I25" s="44"/>
      <c r="J25" s="49"/>
      <c r="K25" s="49"/>
      <c r="L25" s="46"/>
      <c r="M25" s="41"/>
      <c r="N25" s="57"/>
      <c r="O25" s="12"/>
      <c r="P25" s="1"/>
      <c r="Q25" s="13">
        <f t="shared" si="8"/>
        <v>0</v>
      </c>
      <c r="R25" s="19"/>
    </row>
    <row r="26" spans="2:18" ht="28.5" hidden="1" customHeight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57"/>
      <c r="O26" s="12"/>
      <c r="P26" s="1"/>
      <c r="Q26" s="13">
        <f t="shared" si="8"/>
        <v>0</v>
      </c>
      <c r="R26" s="19"/>
    </row>
    <row r="27" spans="2:18" ht="24" hidden="1" customHeight="1" thickBot="1">
      <c r="B27" s="7"/>
      <c r="C27" s="38"/>
      <c r="D27" s="10"/>
      <c r="E27" s="40"/>
      <c r="F27" s="11"/>
      <c r="G27" s="49"/>
      <c r="H27" s="48"/>
      <c r="I27" s="44"/>
      <c r="J27" s="49"/>
      <c r="K27" s="49"/>
      <c r="L27" s="46"/>
      <c r="M27" s="41"/>
      <c r="N27" s="57"/>
      <c r="O27" s="12"/>
      <c r="P27" s="1"/>
      <c r="Q27" s="13">
        <f t="shared" si="8"/>
        <v>0</v>
      </c>
      <c r="R27" s="19"/>
    </row>
    <row r="28" spans="2:18" ht="15.75" thickBot="1">
      <c r="B28" s="39"/>
      <c r="C28" s="38"/>
      <c r="D28" s="39"/>
      <c r="E28" s="16"/>
      <c r="F28" s="65" t="s">
        <v>10</v>
      </c>
      <c r="G28" s="66"/>
      <c r="H28" s="66"/>
      <c r="I28" s="53">
        <f>SUM(I17:I24)</f>
        <v>564.98116438356169</v>
      </c>
      <c r="J28" s="54">
        <f>SUM(J17:J24)</f>
        <v>1000</v>
      </c>
      <c r="K28" s="53"/>
      <c r="L28" s="55">
        <f>SUM(L16:L24)</f>
        <v>564.9811643835618</v>
      </c>
      <c r="M28" s="42"/>
      <c r="N28" s="14">
        <f>SUM(N17:N24)</f>
        <v>999.9999992373414</v>
      </c>
      <c r="O28" s="1"/>
      <c r="P28" s="1"/>
      <c r="Q28" s="1"/>
      <c r="R28" s="19"/>
    </row>
    <row r="29" spans="2:18" ht="15">
      <c r="E29" s="16"/>
      <c r="F29" s="17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 ht="15">
      <c r="E30" s="16"/>
      <c r="F30" s="16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 s="1" customFormat="1" ht="26.25" customHeight="1">
      <c r="E31" s="15"/>
      <c r="F31" s="63" t="s">
        <v>11</v>
      </c>
      <c r="G31" s="63"/>
      <c r="H31" s="63"/>
      <c r="I31" s="63"/>
      <c r="J31" s="63"/>
      <c r="K31" s="63"/>
      <c r="L31" s="63"/>
    </row>
    <row r="32" spans="2:18" s="1" customFormat="1" ht="26.25" customHeight="1">
      <c r="E32" s="15"/>
      <c r="F32" s="63"/>
      <c r="G32" s="63"/>
      <c r="H32" s="63"/>
      <c r="I32" s="63"/>
      <c r="J32" s="63"/>
      <c r="K32" s="63"/>
      <c r="L32" s="63"/>
    </row>
    <row r="33" spans="5:18" ht="15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 ht="15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 ht="15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 ht="15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>
      <c r="E37" s="16"/>
      <c r="F37" s="17"/>
      <c r="G37" s="16"/>
      <c r="H37" s="16"/>
      <c r="I37" s="16"/>
      <c r="J37" s="16"/>
      <c r="K37" s="16"/>
      <c r="L37" s="16"/>
      <c r="M37" s="18"/>
      <c r="N37" s="19"/>
      <c r="O37" s="19"/>
      <c r="P37" s="19"/>
      <c r="Q37" s="19"/>
      <c r="R37" s="19"/>
    </row>
    <row r="38" spans="5:18" ht="15">
      <c r="E38" s="16"/>
      <c r="F38" s="17"/>
      <c r="G38" s="16"/>
      <c r="H38" s="16"/>
      <c r="I38" s="16"/>
      <c r="J38" s="16"/>
      <c r="K38" s="16"/>
      <c r="L38" s="16"/>
      <c r="M38" s="18"/>
      <c r="N38" s="19"/>
      <c r="O38" s="19"/>
      <c r="P38" s="19"/>
      <c r="Q38" s="19"/>
      <c r="R38" s="19"/>
    </row>
    <row r="39" spans="5:18" ht="15">
      <c r="E39" s="16"/>
      <c r="F39" s="17"/>
      <c r="G39" s="16"/>
      <c r="H39" s="16"/>
      <c r="I39" s="16"/>
      <c r="J39" s="16"/>
      <c r="K39" s="16"/>
      <c r="L39" s="16"/>
      <c r="M39" s="18"/>
      <c r="N39" s="19"/>
      <c r="O39" s="19"/>
      <c r="P39" s="19"/>
      <c r="Q39" s="19"/>
      <c r="R39" s="19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algorithmName="SHA-512" hashValue="1dMWA2/aEMSnt0Ozxd1gRn/KOcj1kULRfJrNYjdhT59VJEuH1xy8wAIGAtUYxy7ozZ4XkQCdhMRkiAIN8Mdliw==" saltValue="PcyBMNHclgojgjJC0ZGeEQ==" spinCount="100000" sheet="1" selectLockedCells="1"/>
  <mergeCells count="6">
    <mergeCell ref="F31:L32"/>
    <mergeCell ref="J9:K9"/>
    <mergeCell ref="J10:K10"/>
    <mergeCell ref="J11:K11"/>
    <mergeCell ref="J12:K12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Pyme SION Serie  Clase A</vt:lpstr>
      <vt:lpstr>ON Pyme SION Serie  Clase B</vt:lpstr>
      <vt:lpstr>'ON Pyme SION Serie  Clase A'!Área_de_impresión</vt:lpstr>
      <vt:lpstr>'ON Pyme SION Serie  Clase B'!Área_de_impresión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2025-03-07T15:11:30Z</dcterms:modified>
</cp:coreProperties>
</file>