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VITALCAN\"/>
    </mc:Choice>
  </mc:AlternateContent>
  <xr:revisionPtr revIDLastSave="0" documentId="13_ncr:1_{F651F26E-0873-44A1-9CA9-20EAB283C80F}" xr6:coauthVersionLast="47" xr6:coauthVersionMax="47" xr10:uidLastSave="{00000000-0000-0000-0000-000000000000}"/>
  <bookViews>
    <workbookView xWindow="-28920" yWindow="-90" windowWidth="29040" windowHeight="15840" xr2:uid="{00000000-000D-0000-FFFF-FFFF00000000}"/>
  </bookViews>
  <sheets>
    <sheet name="ON PYME VITALCAN SERIE A" sheetId="18" r:id="rId1"/>
    <sheet name="ON PYME VITALCAN SERIE B" sheetId="19" r:id="rId2"/>
  </sheets>
  <definedNames>
    <definedName name="_xlnm.Print_Area" localSheetId="0">'ON PYME VITALCAN SERIE A'!$A$6:$P$20</definedName>
    <definedName name="_xlnm.Print_Area" localSheetId="1">'ON PYME VITALCAN SERIE B'!$A$6:$P$21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8" l="1"/>
  <c r="H19" i="18"/>
  <c r="H18" i="18"/>
  <c r="H17" i="18"/>
  <c r="H16" i="18"/>
  <c r="H15" i="18"/>
  <c r="C21" i="19"/>
  <c r="J20" i="19"/>
  <c r="C20" i="19"/>
  <c r="C19" i="19"/>
  <c r="C18" i="19"/>
  <c r="C17" i="19"/>
  <c r="G16" i="19"/>
  <c r="K16" i="19" s="1"/>
  <c r="G17" i="19" s="1"/>
  <c r="C16" i="19"/>
  <c r="G15" i="19"/>
  <c r="K15" i="19" s="1"/>
  <c r="F15" i="19"/>
  <c r="B15" i="19" s="1"/>
  <c r="B16" i="19" s="1"/>
  <c r="O15" i="18"/>
  <c r="O16" i="18"/>
  <c r="O17" i="18"/>
  <c r="O18" i="18"/>
  <c r="O19" i="18"/>
  <c r="O20" i="18"/>
  <c r="J19" i="18"/>
  <c r="D15" i="19" l="1"/>
  <c r="B17" i="19"/>
  <c r="D16" i="19"/>
  <c r="F16" i="19" s="1"/>
  <c r="O16" i="19" s="1"/>
  <c r="H16" i="19"/>
  <c r="I16" i="19" s="1"/>
  <c r="K17" i="19"/>
  <c r="G18" i="19" s="1"/>
  <c r="L15" i="19"/>
  <c r="L16" i="19" l="1"/>
  <c r="K18" i="19"/>
  <c r="G19" i="19" s="1"/>
  <c r="B18" i="19"/>
  <c r="D17" i="19"/>
  <c r="F17" i="19" s="1"/>
  <c r="O17" i="19" s="1"/>
  <c r="H17" i="19"/>
  <c r="I17" i="19" s="1"/>
  <c r="L17" i="19" s="1"/>
  <c r="J19" i="19" l="1"/>
  <c r="B19" i="19"/>
  <c r="D18" i="19"/>
  <c r="F18" i="19" s="1"/>
  <c r="H18" i="19"/>
  <c r="I18" i="19" s="1"/>
  <c r="O18" i="19" l="1"/>
  <c r="L18" i="19"/>
  <c r="D19" i="19"/>
  <c r="F19" i="19" s="1"/>
  <c r="O19" i="19" s="1"/>
  <c r="B20" i="19"/>
  <c r="H19" i="19"/>
  <c r="I19" i="19" s="1"/>
  <c r="L19" i="19" s="1"/>
  <c r="K19" i="19"/>
  <c r="G20" i="19" s="1"/>
  <c r="B21" i="19" l="1"/>
  <c r="H20" i="19"/>
  <c r="I20" i="19" s="1"/>
  <c r="D20" i="19"/>
  <c r="F20" i="19" s="1"/>
  <c r="K20" i="19"/>
  <c r="G21" i="19" s="1"/>
  <c r="L20" i="19" l="1"/>
  <c r="J21" i="19"/>
  <c r="J22" i="19" s="1"/>
  <c r="O20" i="19"/>
  <c r="D21" i="19"/>
  <c r="F21" i="19" s="1"/>
  <c r="O21" i="19" s="1"/>
  <c r="H21" i="19"/>
  <c r="I21" i="19" s="1"/>
  <c r="L21" i="19" l="1"/>
  <c r="I22" i="19"/>
  <c r="L7" i="19"/>
  <c r="N20" i="19" s="1"/>
  <c r="K21" i="19"/>
  <c r="L22" i="19"/>
  <c r="L8" i="19" l="1"/>
  <c r="N17" i="19"/>
  <c r="N16" i="19"/>
  <c r="N18" i="19"/>
  <c r="N19" i="19"/>
  <c r="N21" i="19"/>
  <c r="N22" i="19" l="1"/>
  <c r="Q20" i="19" s="1"/>
  <c r="Q17" i="19" l="1"/>
  <c r="Q21" i="19"/>
  <c r="Q18" i="19"/>
  <c r="Q16" i="19"/>
  <c r="Q19" i="19"/>
  <c r="L9" i="19" l="1"/>
  <c r="L10" i="19" s="1"/>
  <c r="G14" i="18"/>
  <c r="L14" i="18" s="1"/>
  <c r="F14" i="18"/>
  <c r="B14" i="18" s="1"/>
  <c r="D14" i="18" s="1"/>
  <c r="K14" i="18" l="1"/>
  <c r="B15" i="18"/>
  <c r="C20" i="18"/>
  <c r="C19" i="18"/>
  <c r="C18" i="18"/>
  <c r="C17" i="18"/>
  <c r="C16" i="18"/>
  <c r="G15" i="18"/>
  <c r="C15" i="18"/>
  <c r="K15" i="18" l="1"/>
  <c r="G16" i="18" s="1"/>
  <c r="I16" i="18" s="1"/>
  <c r="L16" i="18" s="1"/>
  <c r="I15" i="18"/>
  <c r="B16" i="18"/>
  <c r="D15" i="18"/>
  <c r="F15" i="18" s="1"/>
  <c r="K16" i="18"/>
  <c r="G17" i="18" s="1"/>
  <c r="I17" i="18" s="1"/>
  <c r="L17" i="18" s="1"/>
  <c r="L15" i="18" l="1"/>
  <c r="B17" i="18"/>
  <c r="D16" i="18"/>
  <c r="F16" i="18" s="1"/>
  <c r="K17" i="18"/>
  <c r="G18" i="18" s="1"/>
  <c r="J18" i="18" l="1"/>
  <c r="I18" i="18"/>
  <c r="B18" i="18"/>
  <c r="D17" i="18"/>
  <c r="F17" i="18" s="1"/>
  <c r="K18" i="18" l="1"/>
  <c r="G19" i="18" s="1"/>
  <c r="I19" i="18" s="1"/>
  <c r="L18" i="18"/>
  <c r="D18" i="18"/>
  <c r="F18" i="18" s="1"/>
  <c r="B19" i="18"/>
  <c r="K19" i="18" l="1"/>
  <c r="G20" i="18" s="1"/>
  <c r="J20" i="18" s="1"/>
  <c r="J21" i="18" s="1"/>
  <c r="D19" i="18"/>
  <c r="F19" i="18" s="1"/>
  <c r="B20" i="18"/>
  <c r="D20" i="18" s="1"/>
  <c r="L19" i="18"/>
  <c r="I20" i="18" l="1"/>
  <c r="I21" i="18" s="1"/>
  <c r="K20" i="18"/>
  <c r="F20" i="18"/>
  <c r="L20" i="18" l="1"/>
  <c r="L21" i="18" s="1"/>
  <c r="L7" i="18"/>
  <c r="L8" i="18" l="1"/>
  <c r="N16" i="18"/>
  <c r="N15" i="18"/>
  <c r="N20" i="18"/>
  <c r="N17" i="18"/>
  <c r="N19" i="18"/>
  <c r="N18" i="18"/>
  <c r="N21" i="18" l="1"/>
  <c r="Q16" i="18" s="1"/>
  <c r="Q19" i="18" l="1"/>
  <c r="Q20" i="18"/>
  <c r="Q18" i="18"/>
  <c r="Q15" i="18"/>
  <c r="Q17" i="18"/>
  <c r="L9" i="18" l="1"/>
  <c r="L10" i="18" s="1"/>
</calcChain>
</file>

<file path=xl/sharedStrings.xml><?xml version="1.0" encoding="utf-8"?>
<sst xmlns="http://schemas.openxmlformats.org/spreadsheetml/2006/main" count="51" uniqueCount="28">
  <si>
    <t>TIR</t>
  </si>
  <si>
    <t>VA Flujo</t>
  </si>
  <si>
    <t>Duration (meses)</t>
  </si>
  <si>
    <t>Fecha de Pago</t>
  </si>
  <si>
    <t>Días Intereses</t>
  </si>
  <si>
    <t>Días Flujo</t>
  </si>
  <si>
    <t>Tasa de cupon</t>
  </si>
  <si>
    <t>Duration</t>
  </si>
  <si>
    <t>Totales</t>
  </si>
  <si>
    <t>VN (USD)</t>
  </si>
  <si>
    <t>TNA (90 d)</t>
  </si>
  <si>
    <t>Capital (USD)</t>
  </si>
  <si>
    <t>Intereses (USD)</t>
  </si>
  <si>
    <t>Amortización (USD)</t>
  </si>
  <si>
    <t>Capital Residual (USD)</t>
  </si>
  <si>
    <t>Flujo (USD)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</si>
  <si>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</si>
  <si>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Tasa Fija</t>
  </si>
  <si>
    <t>Precio a Licitar</t>
  </si>
  <si>
    <t>Duration (años)</t>
  </si>
  <si>
    <t xml:space="preserve">Dólar MEP - 18 meses </t>
  </si>
  <si>
    <t>Dólar Linked - 18 meses</t>
  </si>
  <si>
    <t>Fecha calendario</t>
  </si>
  <si>
    <t>Fecha de pago</t>
  </si>
  <si>
    <t>ON PYME CNV VITALCAN S.A SERIE I - CLASE A</t>
  </si>
  <si>
    <t>ON PYME CNV VITALCAN S.A SERIE I - CLASE B</t>
  </si>
  <si>
    <t>Tipo de cambio inicial</t>
  </si>
  <si>
    <t>Fecha de Emisión y 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</si>
</sst>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_ &quot;$&quot;\ * #,##0_ ;_ &quot;$&quot;\ * \-#,##0_ ;_ &quot;$&quot;\ * &quot;-&quot;_ ;_ @_ "/>
    <numFmt numFmtId="173" formatCode="0.0000%"/>
    <numFmt numFmtId="174" formatCode="_-&quot;$&quot;\ * #,##0.0_-;\-&quot;$&quot;\ * #,##0.0_-;_-&quot;$&quot;\ * &quot;-&quot;?_-;_-@_-"/>
    <numFmt numFmtId="175" formatCode="_-&quot;$&quot;\ * #,##0.0000_-;\-&quot;$&quot;\ * #,##0.0000_-;_-&quot;$&quot;\ * &quot;-&quot;??_-;_-@_-"/>
  </numFmts>
  <fonts count="15">
    <font>
      <sz val="10"/>
      <name val="Arial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 applyProtection="1">
      <protection hidden="1"/>
    </xf>
    <xf numFmtId="10" fontId="7" fillId="2" borderId="2" xfId="1" applyNumberFormat="1" applyFont="1" applyFill="1" applyBorder="1" applyProtection="1">
      <protection hidden="1"/>
    </xf>
    <xf numFmtId="10" fontId="9" fillId="5" borderId="0" xfId="1" applyNumberFormat="1" applyFont="1" applyFill="1" applyBorder="1" applyProtection="1">
      <protection hidden="1"/>
    </xf>
    <xf numFmtId="0" fontId="8" fillId="6" borderId="5" xfId="2" applyFont="1" applyFill="1" applyBorder="1" applyAlignment="1" applyProtection="1">
      <alignment horizontal="center" vertical="center" wrapText="1"/>
      <protection hidden="1"/>
    </xf>
    <xf numFmtId="14" fontId="7" fillId="2" borderId="2" xfId="3" applyNumberFormat="1" applyFont="1" applyFill="1" applyBorder="1" applyProtection="1">
      <protection hidden="1"/>
    </xf>
    <xf numFmtId="171" fontId="8" fillId="6" borderId="4" xfId="2" applyNumberFormat="1" applyFont="1" applyFill="1" applyBorder="1" applyAlignment="1" applyProtection="1">
      <alignment horizontal="center" vertical="center" wrapText="1"/>
      <protection hidden="1"/>
    </xf>
    <xf numFmtId="171" fontId="8" fillId="6" borderId="5" xfId="2" applyNumberFormat="1" applyFont="1" applyFill="1" applyBorder="1" applyAlignment="1" applyProtection="1">
      <alignment horizontal="center" vertical="center" wrapText="1"/>
      <protection hidden="1"/>
    </xf>
    <xf numFmtId="0" fontId="8" fillId="6" borderId="4" xfId="2" applyFont="1" applyFill="1" applyBorder="1" applyAlignment="1" applyProtection="1">
      <alignment horizontal="center" vertical="center" wrapText="1"/>
      <protection hidden="1"/>
    </xf>
    <xf numFmtId="172" fontId="8" fillId="6" borderId="4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Protection="1">
      <protection hidden="1"/>
    </xf>
    <xf numFmtId="0" fontId="4" fillId="0" borderId="0" xfId="3" applyFont="1" applyProtection="1">
      <protection hidden="1"/>
    </xf>
    <xf numFmtId="166" fontId="4" fillId="0" borderId="0" xfId="3" applyNumberFormat="1" applyFont="1" applyProtection="1">
      <protection hidden="1"/>
    </xf>
    <xf numFmtId="0" fontId="3" fillId="5" borderId="0" xfId="3" applyFont="1" applyFill="1" applyProtection="1">
      <protection hidden="1"/>
    </xf>
    <xf numFmtId="0" fontId="3" fillId="0" borderId="0" xfId="3" applyFont="1"/>
    <xf numFmtId="0" fontId="5" fillId="0" borderId="0" xfId="3" applyFont="1" applyProtection="1">
      <protection hidden="1"/>
    </xf>
    <xf numFmtId="166" fontId="6" fillId="4" borderId="2" xfId="3" applyNumberFormat="1" applyFont="1" applyFill="1" applyBorder="1" applyAlignment="1" applyProtection="1">
      <alignment horizontal="left"/>
      <protection hidden="1"/>
    </xf>
    <xf numFmtId="170" fontId="7" fillId="3" borderId="2" xfId="4" applyNumberFormat="1" applyFont="1" applyFill="1" applyBorder="1" applyProtection="1">
      <protection locked="0" hidden="1"/>
    </xf>
    <xf numFmtId="165" fontId="9" fillId="5" borderId="0" xfId="4" applyFont="1" applyFill="1" applyBorder="1" applyProtection="1">
      <protection hidden="1"/>
    </xf>
    <xf numFmtId="165" fontId="7" fillId="2" borderId="2" xfId="4" applyFont="1" applyFill="1" applyBorder="1" applyProtection="1">
      <protection hidden="1"/>
    </xf>
    <xf numFmtId="10" fontId="4" fillId="0" borderId="0" xfId="3" applyNumberFormat="1" applyFont="1" applyProtection="1">
      <protection hidden="1"/>
    </xf>
    <xf numFmtId="0" fontId="10" fillId="5" borderId="0" xfId="3" applyFont="1" applyFill="1" applyAlignment="1" applyProtection="1">
      <alignment horizontal="center"/>
      <protection hidden="1"/>
    </xf>
    <xf numFmtId="0" fontId="11" fillId="0" borderId="0" xfId="3" applyFont="1"/>
    <xf numFmtId="0" fontId="11" fillId="5" borderId="0" xfId="3" applyFont="1" applyFill="1" applyProtection="1"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166" fontId="5" fillId="0" borderId="0" xfId="3" applyNumberFormat="1" applyFont="1" applyAlignment="1" applyProtection="1">
      <alignment horizontal="center" vertical="center" wrapText="1"/>
      <protection hidden="1"/>
    </xf>
    <xf numFmtId="0" fontId="12" fillId="5" borderId="0" xfId="3" applyFont="1" applyFill="1" applyAlignment="1" applyProtection="1">
      <alignment horizontal="center" vertical="center" wrapText="1"/>
      <protection hidden="1"/>
    </xf>
    <xf numFmtId="0" fontId="12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67" fontId="11" fillId="0" borderId="0" xfId="3" applyNumberFormat="1" applyFont="1" applyProtection="1">
      <protection hidden="1"/>
    </xf>
    <xf numFmtId="10" fontId="3" fillId="0" borderId="0" xfId="3" applyNumberFormat="1" applyFont="1" applyProtection="1">
      <protection hidden="1"/>
    </xf>
    <xf numFmtId="167" fontId="4" fillId="0" borderId="0" xfId="3" applyNumberFormat="1" applyFont="1" applyProtection="1">
      <protection hidden="1"/>
    </xf>
    <xf numFmtId="169" fontId="11" fillId="5" borderId="0" xfId="5" applyNumberFormat="1" applyFont="1" applyFill="1" applyBorder="1" applyAlignment="1" applyProtection="1">
      <alignment horizontal="right" indent="1"/>
      <protection hidden="1"/>
    </xf>
    <xf numFmtId="2" fontId="11" fillId="0" borderId="0" xfId="3" applyNumberFormat="1" applyFont="1" applyAlignment="1">
      <alignment horizontal="right" indent="1"/>
    </xf>
    <xf numFmtId="170" fontId="11" fillId="0" borderId="0" xfId="4" applyNumberFormat="1" applyFont="1" applyAlignment="1" applyProtection="1"/>
    <xf numFmtId="1" fontId="11" fillId="0" borderId="0" xfId="3" applyNumberFormat="1" applyFont="1" applyAlignment="1">
      <alignment horizontal="right" indent="1"/>
    </xf>
    <xf numFmtId="168" fontId="3" fillId="0" borderId="0" xfId="3" applyNumberFormat="1" applyFont="1"/>
    <xf numFmtId="167" fontId="3" fillId="0" borderId="0" xfId="3" applyNumberFormat="1" applyFont="1" applyProtection="1">
      <protection hidden="1"/>
    </xf>
    <xf numFmtId="170" fontId="3" fillId="0" borderId="11" xfId="3" applyNumberFormat="1" applyFont="1" applyBorder="1"/>
    <xf numFmtId="0" fontId="4" fillId="0" borderId="0" xfId="3" applyFont="1"/>
    <xf numFmtId="166" fontId="4" fillId="0" borderId="0" xfId="3" applyNumberFormat="1" applyFont="1"/>
    <xf numFmtId="0" fontId="3" fillId="5" borderId="0" xfId="3" applyFont="1" applyFill="1"/>
    <xf numFmtId="166" fontId="6" fillId="4" borderId="10" xfId="3" applyNumberFormat="1" applyFont="1" applyFill="1" applyBorder="1" applyAlignment="1" applyProtection="1">
      <alignment vertical="center"/>
      <protection hidden="1"/>
    </xf>
    <xf numFmtId="10" fontId="7" fillId="2" borderId="10" xfId="1" applyNumberFormat="1" applyFont="1" applyFill="1" applyBorder="1" applyAlignment="1" applyProtection="1">
      <alignment vertical="center"/>
      <protection hidden="1"/>
    </xf>
    <xf numFmtId="10" fontId="7" fillId="3" borderId="2" xfId="1" applyNumberFormat="1" applyFont="1" applyFill="1" applyBorder="1" applyProtection="1">
      <protection locked="0" hidden="1"/>
    </xf>
    <xf numFmtId="166" fontId="12" fillId="0" borderId="1" xfId="3" applyNumberFormat="1" applyFont="1" applyBorder="1" applyAlignment="1">
      <alignment horizontal="center" vertical="center" wrapText="1"/>
    </xf>
    <xf numFmtId="173" fontId="3" fillId="0" borderId="0" xfId="3" applyNumberFormat="1" applyFont="1"/>
    <xf numFmtId="167" fontId="4" fillId="5" borderId="6" xfId="3" applyNumberFormat="1" applyFont="1" applyFill="1" applyBorder="1" applyProtection="1">
      <protection hidden="1"/>
    </xf>
    <xf numFmtId="172" fontId="4" fillId="5" borderId="0" xfId="3" applyNumberFormat="1" applyFont="1" applyFill="1" applyProtection="1">
      <protection hidden="1"/>
    </xf>
    <xf numFmtId="171" fontId="4" fillId="5" borderId="0" xfId="3" applyNumberFormat="1" applyFont="1" applyFill="1" applyProtection="1">
      <protection hidden="1"/>
    </xf>
    <xf numFmtId="171" fontId="4" fillId="5" borderId="7" xfId="3" applyNumberFormat="1" applyFont="1" applyFill="1" applyBorder="1" applyProtection="1">
      <protection hidden="1"/>
    </xf>
    <xf numFmtId="170" fontId="4" fillId="5" borderId="0" xfId="4" applyNumberFormat="1" applyFont="1" applyFill="1" applyBorder="1" applyAlignment="1" applyProtection="1">
      <alignment horizontal="right" indent="1"/>
      <protection hidden="1"/>
    </xf>
    <xf numFmtId="172" fontId="4" fillId="5" borderId="0" xfId="0" applyNumberFormat="1" applyFont="1" applyFill="1" applyProtection="1">
      <protection hidden="1"/>
    </xf>
    <xf numFmtId="173" fontId="3" fillId="0" borderId="0" xfId="3" applyNumberFormat="1" applyFont="1" applyAlignment="1">
      <alignment horizontal="center"/>
    </xf>
    <xf numFmtId="174" fontId="4" fillId="5" borderId="7" xfId="3" applyNumberFormat="1" applyFont="1" applyFill="1" applyBorder="1" applyProtection="1">
      <protection hidden="1"/>
    </xf>
    <xf numFmtId="175" fontId="7" fillId="2" borderId="2" xfId="8" applyNumberFormat="1" applyFont="1" applyFill="1" applyBorder="1" applyProtection="1">
      <protection hidden="1"/>
    </xf>
    <xf numFmtId="0" fontId="13" fillId="2" borderId="0" xfId="3" applyFont="1" applyFill="1" applyAlignment="1" applyProtection="1">
      <alignment horizontal="center" vertical="center" wrapText="1"/>
      <protection hidden="1"/>
    </xf>
    <xf numFmtId="0" fontId="8" fillId="4" borderId="3" xfId="3" applyFont="1" applyFill="1" applyBorder="1" applyAlignment="1" applyProtection="1">
      <alignment horizontal="right" indent="1"/>
      <protection hidden="1"/>
    </xf>
    <xf numFmtId="0" fontId="8" fillId="6" borderId="4" xfId="2" applyFont="1" applyFill="1" applyBorder="1" applyAlignment="1" applyProtection="1">
      <alignment horizontal="center" vertical="center" wrapText="1"/>
      <protection hidden="1"/>
    </xf>
    <xf numFmtId="0" fontId="8" fillId="6" borderId="8" xfId="2" applyFont="1" applyFill="1" applyBorder="1" applyAlignment="1" applyProtection="1">
      <alignment horizontal="center" vertical="center" wrapText="1"/>
      <protection hidden="1"/>
    </xf>
    <xf numFmtId="0" fontId="8" fillId="6" borderId="9" xfId="2" applyFont="1" applyFill="1" applyBorder="1" applyAlignment="1" applyProtection="1">
      <alignment horizontal="center" vertical="center" wrapText="1"/>
      <protection hidden="1"/>
    </xf>
  </cellXfs>
  <cellStyles count="9">
    <cellStyle name="Millares 2" xfId="4" xr:uid="{7991B591-6442-474D-A7CE-578C4E2BF367}"/>
    <cellStyle name="Millares 3" xfId="7" xr:uid="{876FF108-7DC3-4642-AD7A-6A6570D47119}"/>
    <cellStyle name="Moneda" xfId="8" builtinId="4"/>
    <cellStyle name="Moneda 2" xfId="5" xr:uid="{595C4577-5BB4-4FAD-B730-32E08108B552}"/>
    <cellStyle name="Normal" xfId="0" builtinId="0"/>
    <cellStyle name="Normal 2" xfId="3" xr:uid="{0B01074C-7661-4AEB-9CBB-47BC7DA4BA55}"/>
    <cellStyle name="Normal 3" xfId="6" xr:uid="{3E61D648-3C61-45ED-9F88-79C1E5251AE3}"/>
    <cellStyle name="Normal_Calculadora Garbarino 45_v1" xfId="2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1390556</xdr:colOff>
      <xdr:row>0</xdr:row>
      <xdr:rowOff>105833</xdr:rowOff>
    </xdr:from>
    <xdr:ext cx="1412579" cy="468596"/>
    <xdr:pic>
      <xdr:nvPicPr>
        <xdr:cNvPr id="2" name="Imagen 1">
          <a:extLst>
            <a:ext uri="{FF2B5EF4-FFF2-40B4-BE49-F238E27FC236}">
              <a16:creationId xmlns:a16="http://schemas.microsoft.com/office/drawing/2014/main" id="{D38495FB-BB25-49BF-90AD-D1008E5B6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5031" y="105833"/>
          <a:ext cx="1412579" cy="468596"/>
        </a:xfrm>
        <a:prstGeom prst="rect">
          <a:avLst/>
        </a:prstGeom>
      </xdr:spPr>
    </xdr:pic>
    <xdr:clientData/>
  </xdr:oneCellAnchor>
  <xdr:twoCellAnchor editAs="oneCell">
    <xdr:from>
      <xdr:col>5</xdr:col>
      <xdr:colOff>83343</xdr:colOff>
      <xdr:row>0</xdr:row>
      <xdr:rowOff>35718</xdr:rowOff>
    </xdr:from>
    <xdr:to>
      <xdr:col>5</xdr:col>
      <xdr:colOff>1988343</xdr:colOff>
      <xdr:row>3</xdr:row>
      <xdr:rowOff>130969</xdr:rowOff>
    </xdr:to>
    <xdr:pic>
      <xdr:nvPicPr>
        <xdr:cNvPr id="4" name="Imagen 3" descr="Vitalcan | LinkedIn">
          <a:extLst>
            <a:ext uri="{FF2B5EF4-FFF2-40B4-BE49-F238E27FC236}">
              <a16:creationId xmlns:a16="http://schemas.microsoft.com/office/drawing/2014/main" id="{38F1A6DD-62F6-4199-95F8-FDABC02EA0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11" b="30579"/>
        <a:stretch/>
      </xdr:blipFill>
      <xdr:spPr bwMode="auto">
        <a:xfrm>
          <a:off x="2119312" y="35718"/>
          <a:ext cx="1905000" cy="666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1390556</xdr:colOff>
      <xdr:row>0</xdr:row>
      <xdr:rowOff>105833</xdr:rowOff>
    </xdr:from>
    <xdr:ext cx="1412579" cy="468596"/>
    <xdr:pic>
      <xdr:nvPicPr>
        <xdr:cNvPr id="2" name="Imagen 1">
          <a:extLst>
            <a:ext uri="{FF2B5EF4-FFF2-40B4-BE49-F238E27FC236}">
              <a16:creationId xmlns:a16="http://schemas.microsoft.com/office/drawing/2014/main" id="{E4A38DF0-C017-47D1-96A6-3BD26B15A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50056" y="105833"/>
          <a:ext cx="1412579" cy="468596"/>
        </a:xfrm>
        <a:prstGeom prst="rect">
          <a:avLst/>
        </a:prstGeom>
      </xdr:spPr>
    </xdr:pic>
    <xdr:clientData/>
  </xdr:oneCellAnchor>
  <xdr:twoCellAnchor editAs="oneCell">
    <xdr:from>
      <xdr:col>5</xdr:col>
      <xdr:colOff>83343</xdr:colOff>
      <xdr:row>0</xdr:row>
      <xdr:rowOff>35718</xdr:rowOff>
    </xdr:from>
    <xdr:to>
      <xdr:col>5</xdr:col>
      <xdr:colOff>1991518</xdr:colOff>
      <xdr:row>3</xdr:row>
      <xdr:rowOff>130969</xdr:rowOff>
    </xdr:to>
    <xdr:pic>
      <xdr:nvPicPr>
        <xdr:cNvPr id="3" name="Imagen 2" descr="Vitalcan | LinkedIn">
          <a:extLst>
            <a:ext uri="{FF2B5EF4-FFF2-40B4-BE49-F238E27FC236}">
              <a16:creationId xmlns:a16="http://schemas.microsoft.com/office/drawing/2014/main" id="{F821D4C3-66D9-4B25-8921-82087EEBD6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11" b="30579"/>
        <a:stretch/>
      </xdr:blipFill>
      <xdr:spPr bwMode="auto">
        <a:xfrm>
          <a:off x="11265693" y="35718"/>
          <a:ext cx="1905000" cy="666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34C82-7C3C-448E-9C74-51A68A09ADE4}">
  <sheetPr>
    <pageSetUpPr fitToPage="1"/>
  </sheetPr>
  <dimension ref="A1:CJ32"/>
  <sheetViews>
    <sheetView showGridLines="0" tabSelected="1" topLeftCell="E1" zoomScale="80" zoomScaleNormal="80" workbookViewId="0">
      <selection activeCell="G11" sqref="G11"/>
    </sheetView>
  </sheetViews>
  <sheetFormatPr baseColWidth="10" defaultColWidth="11.42578125" defaultRowHeight="0" customHeight="1" zeroHeight="1" outlineLevelCol="1"/>
  <cols>
    <col min="1" max="1" width="19.85546875" style="14" hidden="1" customWidth="1"/>
    <col min="2" max="2" width="44.28515625" style="14" hidden="1" customWidth="1"/>
    <col min="3" max="3" width="47.28515625" style="14" hidden="1" customWidth="1"/>
    <col min="4" max="4" width="45.5703125" style="14" hidden="1" customWidth="1"/>
    <col min="5" max="5" width="30.5703125" style="39" customWidth="1"/>
    <col min="6" max="6" width="46" style="40" customWidth="1"/>
    <col min="7" max="7" width="16.7109375" style="39" bestFit="1" customWidth="1"/>
    <col min="8" max="8" width="13.42578125" style="39" bestFit="1" customWidth="1"/>
    <col min="9" max="9" width="17.7109375" style="39" bestFit="1" customWidth="1"/>
    <col min="10" max="10" width="21.28515625" style="39" bestFit="1" customWidth="1"/>
    <col min="11" max="11" width="23.7109375" style="39" bestFit="1" customWidth="1"/>
    <col min="12" max="12" width="17.42578125" style="39" bestFit="1" customWidth="1"/>
    <col min="13" max="13" width="30.5703125" style="41" customWidth="1"/>
    <col min="14" max="14" width="12.5703125" style="14" hidden="1" customWidth="1"/>
    <col min="15" max="15" width="20.42578125" style="14" hidden="1" customWidth="1"/>
    <col min="16" max="16" width="8.42578125" style="14" hidden="1" customWidth="1"/>
    <col min="17" max="17" width="14.28515625" style="14" hidden="1" customWidth="1"/>
    <col min="18" max="88" width="11.42578125" style="14" customWidth="1"/>
    <col min="89" max="16384" width="11.42578125" style="14" outlineLevel="1"/>
  </cols>
  <sheetData>
    <row r="1" spans="1:17" ht="15">
      <c r="A1" s="10"/>
      <c r="B1" s="10"/>
      <c r="C1" s="10"/>
      <c r="D1" s="10"/>
      <c r="E1" s="11"/>
      <c r="F1" s="12"/>
      <c r="G1" s="11"/>
      <c r="H1" s="11"/>
      <c r="I1" s="11"/>
      <c r="J1" s="11"/>
      <c r="K1" s="11"/>
      <c r="L1" s="11"/>
      <c r="M1" s="13"/>
    </row>
    <row r="2" spans="1:17" ht="15">
      <c r="A2" s="10"/>
      <c r="B2" s="10"/>
      <c r="C2" s="10"/>
      <c r="D2" s="10"/>
      <c r="E2" s="11"/>
      <c r="F2" s="12"/>
      <c r="G2" s="11"/>
      <c r="H2" s="11"/>
      <c r="I2" s="11"/>
      <c r="J2" s="11"/>
      <c r="K2" s="11"/>
      <c r="L2" s="11"/>
      <c r="M2" s="13"/>
    </row>
    <row r="3" spans="1:17" ht="15">
      <c r="A3" s="10"/>
      <c r="B3" s="10"/>
      <c r="C3" s="10"/>
      <c r="D3" s="10"/>
      <c r="E3" s="11"/>
      <c r="F3" s="12"/>
      <c r="G3" s="11"/>
      <c r="H3" s="11"/>
      <c r="I3" s="11"/>
      <c r="J3" s="11"/>
      <c r="K3" s="11"/>
      <c r="L3" s="11"/>
      <c r="M3" s="13"/>
    </row>
    <row r="4" spans="1:17" ht="15">
      <c r="A4" s="10"/>
      <c r="B4" s="10"/>
      <c r="C4" s="10"/>
      <c r="D4" s="10"/>
      <c r="E4" s="11"/>
      <c r="F4" s="12"/>
      <c r="G4" s="11"/>
      <c r="H4" s="11"/>
      <c r="I4" s="11"/>
      <c r="J4" s="11"/>
      <c r="K4" s="11"/>
      <c r="L4" s="11"/>
      <c r="M4" s="13"/>
    </row>
    <row r="5" spans="1:17" ht="15">
      <c r="A5" s="10"/>
      <c r="B5" s="10"/>
      <c r="C5" s="10"/>
      <c r="D5" s="10"/>
      <c r="E5" s="11"/>
      <c r="F5" s="1" t="s">
        <v>24</v>
      </c>
      <c r="G5" s="15"/>
      <c r="H5" s="15"/>
      <c r="I5" s="15"/>
      <c r="J5" s="11"/>
      <c r="K5" s="11"/>
      <c r="L5" s="11"/>
      <c r="M5" s="13"/>
    </row>
    <row r="6" spans="1:17" ht="15">
      <c r="A6" s="10"/>
      <c r="B6" s="10"/>
      <c r="C6" s="10"/>
      <c r="D6" s="10"/>
      <c r="E6" s="11"/>
      <c r="F6" s="1" t="s">
        <v>20</v>
      </c>
      <c r="G6" s="11"/>
      <c r="H6" s="11"/>
      <c r="I6" s="11"/>
      <c r="J6" s="11"/>
      <c r="K6" s="11"/>
      <c r="L6" s="11"/>
      <c r="M6" s="13"/>
    </row>
    <row r="7" spans="1:17" ht="15">
      <c r="A7" s="10"/>
      <c r="B7" s="10"/>
      <c r="C7" s="10"/>
      <c r="D7" s="10"/>
      <c r="E7" s="11"/>
      <c r="F7" s="14"/>
      <c r="G7" s="14"/>
      <c r="H7" s="11"/>
      <c r="I7" s="11"/>
      <c r="J7" s="57" t="s">
        <v>0</v>
      </c>
      <c r="K7" s="57"/>
      <c r="L7" s="2">
        <f>+XIRR(L14:L20,F14:F20)</f>
        <v>9.8436087369918823E-2</v>
      </c>
      <c r="M7" s="13"/>
    </row>
    <row r="8" spans="1:17" ht="15">
      <c r="A8" s="10"/>
      <c r="B8" s="10"/>
      <c r="C8" s="10"/>
      <c r="D8" s="10"/>
      <c r="E8" s="11"/>
      <c r="F8" s="16" t="s">
        <v>27</v>
      </c>
      <c r="G8" s="5">
        <v>45734</v>
      </c>
      <c r="H8" s="11"/>
      <c r="I8" s="11"/>
      <c r="J8" s="57" t="s">
        <v>10</v>
      </c>
      <c r="K8" s="57"/>
      <c r="L8" s="2">
        <f>+NOMINAL(L7,4)</f>
        <v>9.499795729128202E-2</v>
      </c>
      <c r="M8" s="13"/>
    </row>
    <row r="9" spans="1:17" ht="15">
      <c r="A9" s="10"/>
      <c r="B9" s="10"/>
      <c r="C9" s="10"/>
      <c r="D9" s="10"/>
      <c r="E9" s="11"/>
      <c r="F9" s="42" t="s">
        <v>17</v>
      </c>
      <c r="G9" s="43">
        <v>9.5000000000000001E-2</v>
      </c>
      <c r="H9" s="11"/>
      <c r="I9" s="11"/>
      <c r="J9" s="57" t="s">
        <v>2</v>
      </c>
      <c r="K9" s="57"/>
      <c r="L9" s="19">
        <f>+SUM(Q16:Q20)/(365/12)</f>
        <v>14.277416450796981</v>
      </c>
      <c r="M9" s="3"/>
    </row>
    <row r="10" spans="1:17" ht="15">
      <c r="A10" s="10"/>
      <c r="B10" s="10"/>
      <c r="C10" s="10"/>
      <c r="D10" s="10"/>
      <c r="E10" s="11"/>
      <c r="F10" s="16" t="s">
        <v>9</v>
      </c>
      <c r="G10" s="17">
        <v>100</v>
      </c>
      <c r="H10" s="11"/>
      <c r="I10" s="11"/>
      <c r="J10" s="57" t="s">
        <v>19</v>
      </c>
      <c r="K10" s="57"/>
      <c r="L10" s="19">
        <f>+L9/12</f>
        <v>1.1897847042330818</v>
      </c>
      <c r="M10" s="18"/>
    </row>
    <row r="11" spans="1:17" ht="15">
      <c r="A11" s="10"/>
      <c r="B11" s="10"/>
      <c r="C11" s="10"/>
      <c r="D11" s="10"/>
      <c r="E11" s="11"/>
      <c r="F11" s="16" t="s">
        <v>18</v>
      </c>
      <c r="G11" s="44">
        <v>1</v>
      </c>
      <c r="H11" s="20"/>
      <c r="I11" s="15"/>
      <c r="M11" s="21"/>
      <c r="N11" s="22"/>
    </row>
    <row r="12" spans="1:17" ht="15.75" thickBot="1">
      <c r="A12" s="10"/>
      <c r="B12" s="10"/>
      <c r="C12" s="10"/>
      <c r="D12" s="10"/>
      <c r="E12" s="11"/>
      <c r="F12" s="12"/>
      <c r="G12" s="11"/>
      <c r="H12" s="11"/>
      <c r="I12" s="11"/>
      <c r="J12" s="11"/>
      <c r="K12" s="11"/>
      <c r="L12" s="11"/>
      <c r="M12" s="23"/>
      <c r="N12" s="22"/>
    </row>
    <row r="13" spans="1:17" s="28" customFormat="1" ht="28.5" customHeight="1" thickBot="1">
      <c r="A13" s="24"/>
      <c r="B13" s="45" t="s">
        <v>22</v>
      </c>
      <c r="C13" s="45" t="s">
        <v>6</v>
      </c>
      <c r="D13" s="45" t="s">
        <v>23</v>
      </c>
      <c r="E13" s="25"/>
      <c r="F13" s="8" t="s">
        <v>3</v>
      </c>
      <c r="G13" s="8" t="s">
        <v>11</v>
      </c>
      <c r="H13" s="8" t="s">
        <v>4</v>
      </c>
      <c r="I13" s="8" t="s">
        <v>12</v>
      </c>
      <c r="J13" s="8" t="s">
        <v>13</v>
      </c>
      <c r="K13" s="8" t="s">
        <v>14</v>
      </c>
      <c r="L13" s="4" t="s">
        <v>15</v>
      </c>
      <c r="M13" s="26"/>
      <c r="N13" s="27" t="s">
        <v>1</v>
      </c>
      <c r="O13" s="27" t="s">
        <v>5</v>
      </c>
      <c r="Q13" s="27" t="s">
        <v>7</v>
      </c>
    </row>
    <row r="14" spans="1:17" ht="15">
      <c r="A14" s="10"/>
      <c r="B14" s="29">
        <f>+F14</f>
        <v>45734</v>
      </c>
      <c r="C14" s="46"/>
      <c r="D14" s="29">
        <f>+B14</f>
        <v>45734</v>
      </c>
      <c r="E14" s="31"/>
      <c r="F14" s="47">
        <f>+G8</f>
        <v>45734</v>
      </c>
      <c r="G14" s="48">
        <f>+G10</f>
        <v>100</v>
      </c>
      <c r="H14" s="51"/>
      <c r="I14" s="49"/>
      <c r="J14" s="49"/>
      <c r="K14" s="49">
        <f>+G14-J14</f>
        <v>100</v>
      </c>
      <c r="L14" s="50">
        <f>-G14*G11</f>
        <v>-100</v>
      </c>
      <c r="M14" s="32"/>
      <c r="N14" s="33"/>
      <c r="O14" s="33"/>
    </row>
    <row r="15" spans="1:17" ht="15">
      <c r="A15" s="10"/>
      <c r="B15" s="29">
        <f>DATE(YEAR(B14),MONTH(B14)+3,DAY(B14))</f>
        <v>45826</v>
      </c>
      <c r="C15" s="53">
        <f t="shared" ref="C15:C20" si="0">+$G$9</f>
        <v>9.5000000000000001E-2</v>
      </c>
      <c r="D15" s="29">
        <f>+B15</f>
        <v>45826</v>
      </c>
      <c r="E15" s="31"/>
      <c r="F15" s="47">
        <f t="shared" ref="F15:F20" si="1">+D15</f>
        <v>45826</v>
      </c>
      <c r="G15" s="48">
        <f>+G10</f>
        <v>100</v>
      </c>
      <c r="H15" s="51">
        <f t="shared" ref="H15:H20" si="2">+B15-B14</f>
        <v>92</v>
      </c>
      <c r="I15" s="49">
        <f t="shared" ref="I15:I20" si="3">+G15*($G$9)*(H15)/365</f>
        <v>2.3945205479452056</v>
      </c>
      <c r="J15" s="49"/>
      <c r="K15" s="49">
        <f t="shared" ref="K15:K20" si="4">+G15-J15</f>
        <v>100</v>
      </c>
      <c r="L15" s="54">
        <f>+I15+J15</f>
        <v>2.3945205479452056</v>
      </c>
      <c r="M15" s="32"/>
      <c r="N15" s="34">
        <f t="shared" ref="N15:N20" si="5">+L15/(1+$L$7)^((O15)/365)</f>
        <v>2.3385199876159661</v>
      </c>
      <c r="O15" s="35">
        <f t="shared" ref="O15:O19" si="6">+F15-$F$14</f>
        <v>92</v>
      </c>
      <c r="Q15" s="36">
        <f t="shared" ref="Q15:Q20" si="7">+(N15/$N$21)*O15</f>
        <v>2.1514383949384301</v>
      </c>
    </row>
    <row r="16" spans="1:17" ht="15">
      <c r="A16" s="10"/>
      <c r="B16" s="29">
        <f t="shared" ref="B16:B20" si="8">DATE(YEAR(B15),MONTH(B15)+3,DAY(B15))</f>
        <v>45918</v>
      </c>
      <c r="C16" s="53">
        <f t="shared" si="0"/>
        <v>9.5000000000000001E-2</v>
      </c>
      <c r="D16" s="29">
        <f>+B16</f>
        <v>45918</v>
      </c>
      <c r="E16" s="31"/>
      <c r="F16" s="47">
        <f t="shared" si="1"/>
        <v>45918</v>
      </c>
      <c r="G16" s="48">
        <f t="shared" ref="G16:G18" si="9">+K15</f>
        <v>100</v>
      </c>
      <c r="H16" s="51">
        <f t="shared" si="2"/>
        <v>92</v>
      </c>
      <c r="I16" s="49">
        <f t="shared" si="3"/>
        <v>2.3945205479452056</v>
      </c>
      <c r="J16" s="49"/>
      <c r="K16" s="49">
        <f t="shared" si="4"/>
        <v>100</v>
      </c>
      <c r="L16" s="50">
        <f>+I16+J16</f>
        <v>2.3945205479452056</v>
      </c>
      <c r="M16" s="32"/>
      <c r="N16" s="34">
        <f t="shared" si="5"/>
        <v>2.2838291102459651</v>
      </c>
      <c r="O16" s="35">
        <f t="shared" si="6"/>
        <v>184</v>
      </c>
      <c r="Q16" s="36">
        <f t="shared" si="7"/>
        <v>4.2022455752198988</v>
      </c>
    </row>
    <row r="17" spans="1:17" ht="15">
      <c r="A17" s="10"/>
      <c r="B17" s="29">
        <f t="shared" si="8"/>
        <v>46009</v>
      </c>
      <c r="C17" s="53">
        <f t="shared" si="0"/>
        <v>9.5000000000000001E-2</v>
      </c>
      <c r="D17" s="29">
        <f t="shared" ref="D17" si="10">+B17</f>
        <v>46009</v>
      </c>
      <c r="E17" s="31"/>
      <c r="F17" s="47">
        <f t="shared" si="1"/>
        <v>46009</v>
      </c>
      <c r="G17" s="48">
        <f t="shared" si="9"/>
        <v>100</v>
      </c>
      <c r="H17" s="51">
        <f t="shared" si="2"/>
        <v>91</v>
      </c>
      <c r="I17" s="49">
        <f t="shared" si="3"/>
        <v>2.3684931506849316</v>
      </c>
      <c r="J17" s="49"/>
      <c r="K17" s="49">
        <f t="shared" si="4"/>
        <v>100</v>
      </c>
      <c r="L17" s="50">
        <f>+I17+J17</f>
        <v>2.3684931506849316</v>
      </c>
      <c r="M17" s="32"/>
      <c r="N17" s="34">
        <f t="shared" si="5"/>
        <v>2.2067411780158421</v>
      </c>
      <c r="O17" s="35">
        <f t="shared" si="6"/>
        <v>275</v>
      </c>
      <c r="Q17" s="36">
        <f t="shared" si="7"/>
        <v>6.0685382574034383</v>
      </c>
    </row>
    <row r="18" spans="1:17" ht="15">
      <c r="A18" s="10"/>
      <c r="B18" s="29">
        <f t="shared" si="8"/>
        <v>46099</v>
      </c>
      <c r="C18" s="53">
        <f t="shared" si="0"/>
        <v>9.5000000000000001E-2</v>
      </c>
      <c r="D18" s="29">
        <f>+B18</f>
        <v>46099</v>
      </c>
      <c r="E18" s="31"/>
      <c r="F18" s="47">
        <f t="shared" si="1"/>
        <v>46099</v>
      </c>
      <c r="G18" s="48">
        <f t="shared" si="9"/>
        <v>100</v>
      </c>
      <c r="H18" s="51">
        <f t="shared" si="2"/>
        <v>90</v>
      </c>
      <c r="I18" s="49">
        <f t="shared" si="3"/>
        <v>2.3424657534246576</v>
      </c>
      <c r="J18" s="48">
        <f>+G18*0.33</f>
        <v>33</v>
      </c>
      <c r="K18" s="49">
        <f>+G18-J18</f>
        <v>67</v>
      </c>
      <c r="L18" s="50">
        <f>+I18+J18</f>
        <v>35.342465753424655</v>
      </c>
      <c r="M18" s="32"/>
      <c r="N18" s="34">
        <f t="shared" si="5"/>
        <v>32.175259134146074</v>
      </c>
      <c r="O18" s="35">
        <f t="shared" si="6"/>
        <v>365</v>
      </c>
      <c r="Q18" s="36">
        <f t="shared" si="7"/>
        <v>117.43969618526137</v>
      </c>
    </row>
    <row r="19" spans="1:17" ht="15">
      <c r="A19" s="10"/>
      <c r="B19" s="29">
        <f t="shared" si="8"/>
        <v>46191</v>
      </c>
      <c r="C19" s="53">
        <f t="shared" si="0"/>
        <v>9.5000000000000001E-2</v>
      </c>
      <c r="D19" s="29">
        <f>+B19</f>
        <v>46191</v>
      </c>
      <c r="E19" s="31"/>
      <c r="F19" s="47">
        <f t="shared" si="1"/>
        <v>46191</v>
      </c>
      <c r="G19" s="48">
        <f>+K18</f>
        <v>67</v>
      </c>
      <c r="H19" s="51">
        <f t="shared" si="2"/>
        <v>92</v>
      </c>
      <c r="I19" s="49">
        <f t="shared" si="3"/>
        <v>1.6043287671232878</v>
      </c>
      <c r="J19" s="48">
        <f>+G10*0.33</f>
        <v>33</v>
      </c>
      <c r="K19" s="49">
        <f t="shared" si="4"/>
        <v>34</v>
      </c>
      <c r="L19" s="50">
        <f t="shared" ref="L19:L20" si="11">+I19+J19</f>
        <v>34.604328767123285</v>
      </c>
      <c r="M19" s="32"/>
      <c r="N19" s="34">
        <f t="shared" si="5"/>
        <v>30.766504345950239</v>
      </c>
      <c r="O19" s="35">
        <f t="shared" si="6"/>
        <v>457</v>
      </c>
      <c r="Q19" s="36">
        <f t="shared" si="7"/>
        <v>140.60292527479081</v>
      </c>
    </row>
    <row r="20" spans="1:17" ht="15.75" thickBot="1">
      <c r="A20" s="10"/>
      <c r="B20" s="29">
        <f t="shared" si="8"/>
        <v>46283</v>
      </c>
      <c r="C20" s="53">
        <f t="shared" si="0"/>
        <v>9.5000000000000001E-2</v>
      </c>
      <c r="D20" s="29">
        <f>+B20</f>
        <v>46283</v>
      </c>
      <c r="E20" s="31"/>
      <c r="F20" s="47">
        <f t="shared" si="1"/>
        <v>46283</v>
      </c>
      <c r="G20" s="48">
        <f>+K19</f>
        <v>34</v>
      </c>
      <c r="H20" s="51">
        <f t="shared" si="2"/>
        <v>92</v>
      </c>
      <c r="I20" s="49">
        <f t="shared" si="3"/>
        <v>0.81413698630136988</v>
      </c>
      <c r="J20" s="52">
        <f>+G20</f>
        <v>34</v>
      </c>
      <c r="K20" s="49">
        <f t="shared" si="4"/>
        <v>0</v>
      </c>
      <c r="L20" s="50">
        <f t="shared" si="11"/>
        <v>34.814136986301371</v>
      </c>
      <c r="M20" s="32"/>
      <c r="N20" s="34">
        <f t="shared" si="5"/>
        <v>30.229145949723204</v>
      </c>
      <c r="O20" s="35">
        <f>+F20-$F$14</f>
        <v>549</v>
      </c>
      <c r="Q20" s="36">
        <f t="shared" si="7"/>
        <v>165.9580117523993</v>
      </c>
    </row>
    <row r="21" spans="1:17" ht="15.75" thickBot="1">
      <c r="A21" s="10"/>
      <c r="B21" s="37"/>
      <c r="C21" s="30"/>
      <c r="D21" s="10"/>
      <c r="E21" s="11"/>
      <c r="F21" s="58" t="s">
        <v>8</v>
      </c>
      <c r="G21" s="59"/>
      <c r="H21" s="60"/>
      <c r="I21" s="6">
        <f>SUM(I15:I20)</f>
        <v>11.918465753424659</v>
      </c>
      <c r="J21" s="9">
        <f>SUM(J16:J20)</f>
        <v>100</v>
      </c>
      <c r="K21" s="6"/>
      <c r="L21" s="7">
        <f>SUM(L14:L20)</f>
        <v>11.918465753424648</v>
      </c>
      <c r="M21" s="13"/>
      <c r="N21" s="38">
        <f>SUM(N15:N20)</f>
        <v>99.999999705697292</v>
      </c>
    </row>
    <row r="22" spans="1:17" ht="15" customHeight="1">
      <c r="A22" s="10"/>
      <c r="B22" s="10"/>
      <c r="C22" s="10"/>
      <c r="D22" s="10"/>
      <c r="E22" s="11"/>
      <c r="F22" s="12"/>
      <c r="G22" s="11"/>
      <c r="H22" s="11"/>
      <c r="I22" s="11"/>
      <c r="J22" s="11"/>
      <c r="K22" s="11"/>
      <c r="L22" s="11"/>
      <c r="M22" s="13"/>
    </row>
    <row r="23" spans="1:17" ht="27.75" customHeight="1">
      <c r="F23" s="56" t="s">
        <v>16</v>
      </c>
      <c r="G23" s="56"/>
      <c r="H23" s="56"/>
      <c r="I23" s="56"/>
      <c r="J23" s="56"/>
      <c r="K23" s="56"/>
      <c r="L23" s="56"/>
      <c r="M23" s="14"/>
    </row>
    <row r="24" spans="1:17" ht="27.75" customHeight="1">
      <c r="F24" s="56"/>
      <c r="G24" s="56"/>
      <c r="H24" s="56"/>
      <c r="I24" s="56"/>
      <c r="J24" s="56"/>
      <c r="K24" s="56"/>
      <c r="L24" s="56"/>
      <c r="M24" s="14"/>
    </row>
    <row r="25" spans="1:17" ht="15" customHeight="1"/>
    <row r="26" spans="1:17" ht="15" customHeight="1"/>
    <row r="27" spans="1:17" ht="15" customHeight="1">
      <c r="J27" s="14"/>
      <c r="K27" s="14"/>
      <c r="L27" s="14"/>
    </row>
    <row r="28" spans="1:17" ht="15" customHeight="1">
      <c r="J28" s="14"/>
      <c r="K28" s="14"/>
      <c r="L28" s="14"/>
    </row>
    <row r="29" spans="1:17" ht="15" customHeight="1">
      <c r="J29" s="14"/>
      <c r="K29" s="14"/>
      <c r="L29" s="14"/>
    </row>
    <row r="30" spans="1:17" ht="15" customHeight="1">
      <c r="J30" s="14"/>
      <c r="K30" s="14"/>
      <c r="L30" s="14"/>
    </row>
    <row r="31" spans="1:17" ht="15" customHeight="1"/>
    <row r="32" spans="1:17" ht="15" customHeight="1"/>
  </sheetData>
  <sheetProtection algorithmName="SHA-512" hashValue="HAgGxQu7Jd1lEXmPO/UtPwiZO1/AvlooTosISMhZFvgwW8TUmSTycdxDL3X0s7asuWYORn6AK7V0WzvSDxuuIg==" saltValue="8Iyzi1G3E8GnmLl1M89nSQ==" spinCount="100000" sheet="1" selectLockedCells="1"/>
  <mergeCells count="6">
    <mergeCell ref="F23:L24"/>
    <mergeCell ref="J7:K7"/>
    <mergeCell ref="J8:K8"/>
    <mergeCell ref="J9:K9"/>
    <mergeCell ref="J10:K10"/>
    <mergeCell ref="F21:H21"/>
  </mergeCells>
  <pageMargins left="0.39370078740157483" right="0.39370078740157483" top="0.39370078740157483" bottom="0.39370078740157483" header="0" footer="0"/>
  <pageSetup paperSize="9" scale="68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50764-C4A4-4D6A-9DD7-D184057B952F}">
  <sheetPr>
    <pageSetUpPr fitToPage="1"/>
  </sheetPr>
  <dimension ref="A1:CK32"/>
  <sheetViews>
    <sheetView showGridLines="0" topLeftCell="E1" zoomScale="80" zoomScaleNormal="80" workbookViewId="0">
      <selection activeCell="G11" sqref="G11"/>
    </sheetView>
  </sheetViews>
  <sheetFormatPr baseColWidth="10" defaultColWidth="0" defaultRowHeight="0" customHeight="1" zeroHeight="1" outlineLevelCol="1"/>
  <cols>
    <col min="1" max="1" width="19.85546875" style="14" hidden="1" customWidth="1"/>
    <col min="2" max="2" width="44.28515625" style="14" hidden="1" customWidth="1"/>
    <col min="3" max="3" width="47.28515625" style="14" hidden="1" customWidth="1"/>
    <col min="4" max="4" width="45.5703125" style="14" hidden="1" customWidth="1"/>
    <col min="5" max="5" width="30.5703125" style="39" customWidth="1"/>
    <col min="6" max="6" width="46" style="40" customWidth="1"/>
    <col min="7" max="7" width="16.7109375" style="39" bestFit="1" customWidth="1"/>
    <col min="8" max="8" width="13.42578125" style="39" bestFit="1" customWidth="1"/>
    <col min="9" max="9" width="17.7109375" style="39" bestFit="1" customWidth="1"/>
    <col min="10" max="10" width="21.28515625" style="39" bestFit="1" customWidth="1"/>
    <col min="11" max="11" width="23.7109375" style="39" bestFit="1" customWidth="1"/>
    <col min="12" max="12" width="17.42578125" style="39" bestFit="1" customWidth="1"/>
    <col min="13" max="13" width="30.5703125" style="41" customWidth="1"/>
    <col min="14" max="14" width="12.5703125" style="14" hidden="1" customWidth="1"/>
    <col min="15" max="15" width="20.42578125" style="14" hidden="1" customWidth="1"/>
    <col min="16" max="16" width="8.42578125" style="14" hidden="1" customWidth="1"/>
    <col min="17" max="17" width="14.28515625" style="14" hidden="1" customWidth="1"/>
    <col min="18" max="88" width="11.42578125" style="14" hidden="1" customWidth="1"/>
    <col min="89" max="89" width="0" style="14" hidden="1" customWidth="1" outlineLevel="1"/>
    <col min="90" max="16384" width="11.42578125" style="14" hidden="1" outlineLevel="1"/>
  </cols>
  <sheetData>
    <row r="1" spans="1:17" ht="15">
      <c r="A1" s="10"/>
      <c r="B1" s="10"/>
      <c r="C1" s="10"/>
      <c r="D1" s="10"/>
      <c r="E1" s="11"/>
      <c r="F1" s="12"/>
      <c r="G1" s="11"/>
      <c r="H1" s="11"/>
      <c r="I1" s="11"/>
      <c r="J1" s="11"/>
      <c r="K1" s="11"/>
      <c r="L1" s="11"/>
      <c r="M1" s="13"/>
    </row>
    <row r="2" spans="1:17" ht="15">
      <c r="A2" s="10"/>
      <c r="B2" s="10"/>
      <c r="C2" s="10"/>
      <c r="D2" s="10"/>
      <c r="E2" s="11"/>
      <c r="F2" s="12"/>
      <c r="G2" s="11"/>
      <c r="H2" s="11"/>
      <c r="I2" s="11"/>
      <c r="J2" s="11"/>
      <c r="K2" s="11"/>
      <c r="L2" s="11"/>
      <c r="M2" s="13"/>
    </row>
    <row r="3" spans="1:17" ht="15">
      <c r="A3" s="10"/>
      <c r="B3" s="10"/>
      <c r="C3" s="10"/>
      <c r="D3" s="10"/>
      <c r="E3" s="11"/>
      <c r="F3" s="12"/>
      <c r="G3" s="11"/>
      <c r="H3" s="11"/>
      <c r="I3" s="11"/>
      <c r="J3" s="11"/>
      <c r="K3" s="11"/>
      <c r="L3" s="11"/>
      <c r="M3" s="13"/>
    </row>
    <row r="4" spans="1:17" ht="15">
      <c r="A4" s="10"/>
      <c r="B4" s="10"/>
      <c r="C4" s="10"/>
      <c r="D4" s="10"/>
      <c r="E4" s="11"/>
      <c r="F4" s="12"/>
      <c r="G4" s="11"/>
      <c r="H4" s="11"/>
      <c r="I4" s="11"/>
      <c r="J4" s="11"/>
      <c r="K4" s="11"/>
      <c r="L4" s="11"/>
      <c r="M4" s="13"/>
    </row>
    <row r="5" spans="1:17" ht="15">
      <c r="A5" s="10"/>
      <c r="B5" s="10"/>
      <c r="C5" s="10"/>
      <c r="D5" s="10"/>
      <c r="E5" s="11"/>
      <c r="F5" s="1" t="s">
        <v>25</v>
      </c>
      <c r="G5" s="15"/>
      <c r="H5" s="15"/>
      <c r="I5" s="15"/>
      <c r="J5" s="11"/>
      <c r="K5" s="11"/>
      <c r="L5" s="11"/>
      <c r="M5" s="13"/>
    </row>
    <row r="6" spans="1:17" ht="15">
      <c r="A6" s="10"/>
      <c r="B6" s="10"/>
      <c r="C6" s="10"/>
      <c r="D6" s="10"/>
      <c r="E6" s="11"/>
      <c r="F6" s="15" t="s">
        <v>21</v>
      </c>
      <c r="G6" s="11"/>
      <c r="H6" s="11"/>
      <c r="I6" s="11"/>
      <c r="J6" s="11"/>
      <c r="K6" s="11"/>
      <c r="L6" s="11"/>
      <c r="M6" s="13"/>
    </row>
    <row r="7" spans="1:17" ht="15">
      <c r="A7" s="10"/>
      <c r="B7" s="10"/>
      <c r="C7" s="10"/>
      <c r="D7" s="10"/>
      <c r="E7" s="11"/>
      <c r="F7" s="14"/>
      <c r="G7" s="14"/>
      <c r="H7" s="11"/>
      <c r="I7" s="11"/>
      <c r="J7" s="57" t="s">
        <v>0</v>
      </c>
      <c r="K7" s="57"/>
      <c r="L7" s="2">
        <f>+XIRR(L15:L21,F15:F21)</f>
        <v>0.11461825966835021</v>
      </c>
      <c r="M7" s="13"/>
    </row>
    <row r="8" spans="1:17" ht="15">
      <c r="A8" s="10"/>
      <c r="B8" s="10"/>
      <c r="C8" s="10"/>
      <c r="D8" s="10"/>
      <c r="E8" s="11"/>
      <c r="F8" s="16" t="s">
        <v>27</v>
      </c>
      <c r="G8" s="5">
        <v>45734</v>
      </c>
      <c r="H8" s="11"/>
      <c r="I8" s="11"/>
      <c r="J8" s="57" t="s">
        <v>10</v>
      </c>
      <c r="K8" s="57"/>
      <c r="L8" s="2">
        <f>+NOMINAL(L7,4)</f>
        <v>0.10999723471824741</v>
      </c>
      <c r="M8" s="13"/>
    </row>
    <row r="9" spans="1:17" ht="15">
      <c r="A9" s="10"/>
      <c r="B9" s="10"/>
      <c r="C9" s="10"/>
      <c r="D9" s="10"/>
      <c r="E9" s="11"/>
      <c r="F9" s="42" t="s">
        <v>17</v>
      </c>
      <c r="G9" s="43">
        <v>0.11</v>
      </c>
      <c r="H9" s="11"/>
      <c r="I9" s="11"/>
      <c r="J9" s="57" t="s">
        <v>2</v>
      </c>
      <c r="K9" s="57"/>
      <c r="L9" s="19">
        <f>+SUM(Q17:Q21)/(365/12)</f>
        <v>14.161142894032443</v>
      </c>
      <c r="M9" s="3"/>
    </row>
    <row r="10" spans="1:17" ht="15">
      <c r="A10" s="10"/>
      <c r="B10" s="10"/>
      <c r="C10" s="10"/>
      <c r="D10" s="10"/>
      <c r="E10" s="11"/>
      <c r="F10" s="16" t="s">
        <v>9</v>
      </c>
      <c r="G10" s="17">
        <v>100</v>
      </c>
      <c r="H10" s="11"/>
      <c r="I10" s="11"/>
      <c r="J10" s="57" t="s">
        <v>19</v>
      </c>
      <c r="K10" s="57"/>
      <c r="L10" s="19">
        <f>+L9/12</f>
        <v>1.1800952411693701</v>
      </c>
      <c r="M10" s="18"/>
    </row>
    <row r="11" spans="1:17" ht="15">
      <c r="A11" s="10"/>
      <c r="B11" s="10"/>
      <c r="C11" s="10"/>
      <c r="D11" s="10"/>
      <c r="E11" s="11"/>
      <c r="F11" s="16" t="s">
        <v>18</v>
      </c>
      <c r="G11" s="44">
        <v>1</v>
      </c>
      <c r="H11" s="20"/>
      <c r="I11" s="15"/>
      <c r="M11" s="21"/>
      <c r="N11" s="22"/>
    </row>
    <row r="12" spans="1:17" ht="15">
      <c r="A12" s="10"/>
      <c r="B12" s="10"/>
      <c r="C12" s="10"/>
      <c r="D12" s="10"/>
      <c r="E12" s="11"/>
      <c r="F12" s="16" t="s">
        <v>26</v>
      </c>
      <c r="G12" s="55">
        <v>1068.5417</v>
      </c>
      <c r="H12" s="20"/>
      <c r="I12" s="15"/>
      <c r="M12" s="21"/>
      <c r="N12" s="22"/>
    </row>
    <row r="13" spans="1:17" ht="15.75" thickBot="1">
      <c r="A13" s="10"/>
      <c r="B13" s="10"/>
      <c r="C13" s="10"/>
      <c r="D13" s="10"/>
      <c r="E13" s="11"/>
      <c r="F13" s="12"/>
      <c r="G13" s="11"/>
      <c r="H13" s="11"/>
      <c r="I13" s="11"/>
      <c r="J13" s="11"/>
      <c r="K13" s="11"/>
      <c r="L13" s="11"/>
      <c r="M13" s="23"/>
      <c r="N13" s="22"/>
    </row>
    <row r="14" spans="1:17" s="28" customFormat="1" ht="28.5" customHeight="1" thickBot="1">
      <c r="A14" s="24"/>
      <c r="B14" s="45" t="s">
        <v>22</v>
      </c>
      <c r="C14" s="45" t="s">
        <v>6</v>
      </c>
      <c r="D14" s="45" t="s">
        <v>23</v>
      </c>
      <c r="E14" s="25"/>
      <c r="F14" s="8" t="s">
        <v>3</v>
      </c>
      <c r="G14" s="8" t="s">
        <v>11</v>
      </c>
      <c r="H14" s="8" t="s">
        <v>4</v>
      </c>
      <c r="I14" s="8" t="s">
        <v>12</v>
      </c>
      <c r="J14" s="8" t="s">
        <v>13</v>
      </c>
      <c r="K14" s="8" t="s">
        <v>14</v>
      </c>
      <c r="L14" s="4" t="s">
        <v>15</v>
      </c>
      <c r="M14" s="26"/>
      <c r="N14" s="27" t="s">
        <v>1</v>
      </c>
      <c r="O14" s="27" t="s">
        <v>5</v>
      </c>
      <c r="Q14" s="27" t="s">
        <v>7</v>
      </c>
    </row>
    <row r="15" spans="1:17" ht="15">
      <c r="A15" s="10"/>
      <c r="B15" s="29">
        <f>+F15</f>
        <v>45734</v>
      </c>
      <c r="C15" s="46"/>
      <c r="D15" s="29">
        <f>+B15</f>
        <v>45734</v>
      </c>
      <c r="E15" s="31"/>
      <c r="F15" s="47">
        <f>+G8</f>
        <v>45734</v>
      </c>
      <c r="G15" s="48">
        <f>+G10</f>
        <v>100</v>
      </c>
      <c r="H15" s="51"/>
      <c r="I15" s="49"/>
      <c r="J15" s="49"/>
      <c r="K15" s="49">
        <f>+G15-J15</f>
        <v>100</v>
      </c>
      <c r="L15" s="50">
        <f>-G15*G11</f>
        <v>-100</v>
      </c>
      <c r="M15" s="32"/>
      <c r="N15" s="33"/>
      <c r="O15" s="33"/>
    </row>
    <row r="16" spans="1:17" ht="15">
      <c r="A16" s="10"/>
      <c r="B16" s="29">
        <f>DATE(YEAR(B15),MONTH(B15)+3,DAY(B15))</f>
        <v>45826</v>
      </c>
      <c r="C16" s="53">
        <f t="shared" ref="C16:C21" si="0">+$G$9</f>
        <v>0.11</v>
      </c>
      <c r="D16" s="29">
        <f>+B16</f>
        <v>45826</v>
      </c>
      <c r="E16" s="31"/>
      <c r="F16" s="47">
        <f t="shared" ref="F16:F21" si="1">+D16</f>
        <v>45826</v>
      </c>
      <c r="G16" s="48">
        <f>+G10</f>
        <v>100</v>
      </c>
      <c r="H16" s="51">
        <f t="shared" ref="H16:H21" si="2">+B16-B15</f>
        <v>92</v>
      </c>
      <c r="I16" s="49">
        <f t="shared" ref="I16:I21" si="3">+G16*($G$9)*(H16)/365</f>
        <v>2.7726027397260276</v>
      </c>
      <c r="J16" s="49"/>
      <c r="K16" s="49">
        <f t="shared" ref="K16:K21" si="4">+G16-J16</f>
        <v>100</v>
      </c>
      <c r="L16" s="54">
        <f>+I16+J16</f>
        <v>2.7726027397260276</v>
      </c>
      <c r="M16" s="32"/>
      <c r="N16" s="34">
        <f t="shared" ref="N16:N21" si="5">+L16/(1+$L$7)^((O16)/365)</f>
        <v>2.6977970481309348</v>
      </c>
      <c r="O16" s="35">
        <f t="shared" ref="O16:O20" si="6">+F16-$F$15</f>
        <v>92</v>
      </c>
      <c r="Q16" s="36">
        <f t="shared" ref="Q16:Q21" si="7">+(N16/$N$22)*O16</f>
        <v>2.4819732731071582</v>
      </c>
    </row>
    <row r="17" spans="1:17" ht="15">
      <c r="A17" s="10"/>
      <c r="B17" s="29">
        <f t="shared" ref="B17:B21" si="8">DATE(YEAR(B16),MONTH(B16)+3,DAY(B16))</f>
        <v>45918</v>
      </c>
      <c r="C17" s="53">
        <f t="shared" si="0"/>
        <v>0.11</v>
      </c>
      <c r="D17" s="29">
        <f>+B17</f>
        <v>45918</v>
      </c>
      <c r="E17" s="31"/>
      <c r="F17" s="47">
        <f t="shared" si="1"/>
        <v>45918</v>
      </c>
      <c r="G17" s="48">
        <f t="shared" ref="G17:G19" si="9">+K16</f>
        <v>100</v>
      </c>
      <c r="H17" s="51">
        <f t="shared" si="2"/>
        <v>92</v>
      </c>
      <c r="I17" s="49">
        <f t="shared" si="3"/>
        <v>2.7726027397260276</v>
      </c>
      <c r="J17" s="49"/>
      <c r="K17" s="49">
        <f t="shared" si="4"/>
        <v>100</v>
      </c>
      <c r="L17" s="50">
        <f>+I17+J17</f>
        <v>2.7726027397260276</v>
      </c>
      <c r="M17" s="32"/>
      <c r="N17" s="34">
        <f t="shared" si="5"/>
        <v>2.625009637559244</v>
      </c>
      <c r="O17" s="35">
        <f t="shared" si="6"/>
        <v>184</v>
      </c>
      <c r="Q17" s="36">
        <f t="shared" si="7"/>
        <v>4.8300177113653238</v>
      </c>
    </row>
    <row r="18" spans="1:17" ht="15">
      <c r="A18" s="10"/>
      <c r="B18" s="29">
        <f t="shared" si="8"/>
        <v>46009</v>
      </c>
      <c r="C18" s="53">
        <f t="shared" si="0"/>
        <v>0.11</v>
      </c>
      <c r="D18" s="29">
        <f t="shared" ref="D18" si="10">+B18</f>
        <v>46009</v>
      </c>
      <c r="E18" s="31"/>
      <c r="F18" s="47">
        <f t="shared" si="1"/>
        <v>46009</v>
      </c>
      <c r="G18" s="48">
        <f t="shared" si="9"/>
        <v>100</v>
      </c>
      <c r="H18" s="51">
        <f t="shared" si="2"/>
        <v>91</v>
      </c>
      <c r="I18" s="49">
        <f t="shared" si="3"/>
        <v>2.7424657534246575</v>
      </c>
      <c r="J18" s="49"/>
      <c r="K18" s="49">
        <f t="shared" si="4"/>
        <v>100</v>
      </c>
      <c r="L18" s="50">
        <f>+I18+J18</f>
        <v>2.7424657534246575</v>
      </c>
      <c r="M18" s="32"/>
      <c r="N18" s="34">
        <f t="shared" si="5"/>
        <v>2.5271743620721332</v>
      </c>
      <c r="O18" s="35">
        <f t="shared" si="6"/>
        <v>275</v>
      </c>
      <c r="Q18" s="36">
        <f t="shared" si="7"/>
        <v>6.9497294644122016</v>
      </c>
    </row>
    <row r="19" spans="1:17" ht="15">
      <c r="A19" s="10"/>
      <c r="B19" s="29">
        <f t="shared" si="8"/>
        <v>46099</v>
      </c>
      <c r="C19" s="53">
        <f t="shared" si="0"/>
        <v>0.11</v>
      </c>
      <c r="D19" s="29">
        <f>+B19</f>
        <v>46099</v>
      </c>
      <c r="E19" s="31"/>
      <c r="F19" s="47">
        <f t="shared" si="1"/>
        <v>46099</v>
      </c>
      <c r="G19" s="48">
        <f t="shared" si="9"/>
        <v>100</v>
      </c>
      <c r="H19" s="51">
        <f t="shared" si="2"/>
        <v>90</v>
      </c>
      <c r="I19" s="49">
        <f t="shared" si="3"/>
        <v>2.7123287671232879</v>
      </c>
      <c r="J19" s="48">
        <f>+G19*0.33</f>
        <v>33</v>
      </c>
      <c r="K19" s="49">
        <f>+G19-J19</f>
        <v>67</v>
      </c>
      <c r="L19" s="50">
        <f>+I19+J19</f>
        <v>35.712328767123289</v>
      </c>
      <c r="M19" s="32"/>
      <c r="N19" s="34">
        <f t="shared" si="5"/>
        <v>32.039963868660593</v>
      </c>
      <c r="O19" s="35">
        <f t="shared" si="6"/>
        <v>365</v>
      </c>
      <c r="Q19" s="36">
        <f t="shared" si="7"/>
        <v>116.94586759414639</v>
      </c>
    </row>
    <row r="20" spans="1:17" ht="15">
      <c r="A20" s="10"/>
      <c r="B20" s="29">
        <f t="shared" si="8"/>
        <v>46191</v>
      </c>
      <c r="C20" s="53">
        <f t="shared" si="0"/>
        <v>0.11</v>
      </c>
      <c r="D20" s="29">
        <f>+B20</f>
        <v>46191</v>
      </c>
      <c r="E20" s="31"/>
      <c r="F20" s="47">
        <f t="shared" si="1"/>
        <v>46191</v>
      </c>
      <c r="G20" s="48">
        <f>+K19</f>
        <v>67</v>
      </c>
      <c r="H20" s="51">
        <f t="shared" si="2"/>
        <v>92</v>
      </c>
      <c r="I20" s="49">
        <f t="shared" si="3"/>
        <v>1.8576438356164382</v>
      </c>
      <c r="J20" s="48">
        <f>+G10*0.33</f>
        <v>33</v>
      </c>
      <c r="K20" s="49">
        <f t="shared" si="4"/>
        <v>34</v>
      </c>
      <c r="L20" s="50">
        <f t="shared" ref="L20:L21" si="11">+I20+J20</f>
        <v>34.857643835616436</v>
      </c>
      <c r="M20" s="32"/>
      <c r="N20" s="34">
        <f t="shared" si="5"/>
        <v>30.429407895479248</v>
      </c>
      <c r="O20" s="35">
        <f t="shared" si="6"/>
        <v>457</v>
      </c>
      <c r="Q20" s="36">
        <f t="shared" si="7"/>
        <v>139.06239345631164</v>
      </c>
    </row>
    <row r="21" spans="1:17" ht="15.75" thickBot="1">
      <c r="A21" s="10"/>
      <c r="B21" s="29">
        <f t="shared" si="8"/>
        <v>46283</v>
      </c>
      <c r="C21" s="53">
        <f t="shared" si="0"/>
        <v>0.11</v>
      </c>
      <c r="D21" s="29">
        <f>+B21</f>
        <v>46283</v>
      </c>
      <c r="E21" s="31"/>
      <c r="F21" s="47">
        <f t="shared" si="1"/>
        <v>46283</v>
      </c>
      <c r="G21" s="48">
        <f>+K20</f>
        <v>34</v>
      </c>
      <c r="H21" s="51">
        <f t="shared" si="2"/>
        <v>92</v>
      </c>
      <c r="I21" s="49">
        <f t="shared" si="3"/>
        <v>0.9426849315068494</v>
      </c>
      <c r="J21" s="52">
        <f>+G21</f>
        <v>34</v>
      </c>
      <c r="K21" s="49">
        <f t="shared" si="4"/>
        <v>0</v>
      </c>
      <c r="L21" s="50">
        <f t="shared" si="11"/>
        <v>34.942684931506847</v>
      </c>
      <c r="M21" s="32"/>
      <c r="N21" s="34">
        <f t="shared" si="5"/>
        <v>29.68064763827601</v>
      </c>
      <c r="O21" s="35">
        <f>+F21-$F$15</f>
        <v>549</v>
      </c>
      <c r="Q21" s="36">
        <f t="shared" si="7"/>
        <v>162.94675480058459</v>
      </c>
    </row>
    <row r="22" spans="1:17" ht="15.75" thickBot="1">
      <c r="A22" s="10"/>
      <c r="B22" s="37"/>
      <c r="C22" s="30"/>
      <c r="D22" s="10"/>
      <c r="E22" s="11"/>
      <c r="F22" s="58" t="s">
        <v>8</v>
      </c>
      <c r="G22" s="59"/>
      <c r="H22" s="60"/>
      <c r="I22" s="6">
        <f>SUM(I16:I21)</f>
        <v>13.800328767123288</v>
      </c>
      <c r="J22" s="9">
        <f>SUM(J17:J21)</f>
        <v>100</v>
      </c>
      <c r="K22" s="6"/>
      <c r="L22" s="7">
        <f>SUM(L15:L21)</f>
        <v>13.800328767123275</v>
      </c>
      <c r="M22" s="13"/>
      <c r="N22" s="38">
        <f>SUM(N16:N21)</f>
        <v>100.00000045017816</v>
      </c>
    </row>
    <row r="23" spans="1:17" ht="15" customHeight="1">
      <c r="A23" s="10"/>
      <c r="B23" s="10"/>
      <c r="C23" s="10"/>
      <c r="D23" s="10"/>
      <c r="E23" s="11"/>
      <c r="F23" s="12"/>
      <c r="G23" s="11"/>
      <c r="H23" s="11"/>
      <c r="I23" s="11"/>
      <c r="J23" s="11"/>
      <c r="K23" s="11"/>
      <c r="L23" s="11"/>
      <c r="M23" s="13"/>
    </row>
    <row r="24" spans="1:17" ht="27.75" customHeight="1">
      <c r="F24" s="56" t="s">
        <v>16</v>
      </c>
      <c r="G24" s="56"/>
      <c r="H24" s="56"/>
      <c r="I24" s="56"/>
      <c r="J24" s="56"/>
      <c r="K24" s="56"/>
      <c r="L24" s="56"/>
      <c r="M24" s="14"/>
    </row>
    <row r="25" spans="1:17" ht="27.75" customHeight="1">
      <c r="F25" s="56"/>
      <c r="G25" s="56"/>
      <c r="H25" s="56"/>
      <c r="I25" s="56"/>
      <c r="J25" s="56"/>
      <c r="K25" s="56"/>
      <c r="L25" s="56"/>
      <c r="M25" s="14"/>
    </row>
    <row r="26" spans="1:17" ht="15" customHeight="1"/>
    <row r="27" spans="1:17" ht="15" customHeight="1"/>
    <row r="28" spans="1:17" ht="15" customHeight="1">
      <c r="J28" s="14"/>
      <c r="K28" s="14"/>
      <c r="L28" s="14"/>
    </row>
    <row r="29" spans="1:17" ht="15" customHeight="1">
      <c r="J29" s="14"/>
      <c r="K29" s="14"/>
      <c r="L29" s="14"/>
    </row>
    <row r="30" spans="1:17" ht="15" customHeight="1">
      <c r="J30" s="14"/>
      <c r="K30" s="14"/>
      <c r="L30" s="14"/>
    </row>
    <row r="31" spans="1:17" ht="15" customHeight="1"/>
    <row r="32" spans="1:17" ht="15" customHeight="1"/>
  </sheetData>
  <sheetProtection algorithmName="SHA-512" hashValue="pYHffFfh8KFzVaDsJ1PJiV9Gx+yCFC4w8mN0hbaio9ansxk5whYbH2A0vQalRKQKm63ZNY/RzrYkcz43caRtsQ==" saltValue="dcnKFFH+9VCsB5KYlWgesQ==" spinCount="100000" sheet="1" selectLockedCells="1"/>
  <mergeCells count="6">
    <mergeCell ref="F24:L25"/>
    <mergeCell ref="J7:K7"/>
    <mergeCell ref="J8:K8"/>
    <mergeCell ref="J9:K9"/>
    <mergeCell ref="J10:K10"/>
    <mergeCell ref="F22:H22"/>
  </mergeCells>
  <pageMargins left="0.39370078740157483" right="0.39370078740157483" top="0.39370078740157483" bottom="0.39370078740157483" header="0" footer="0"/>
  <pageSetup paperSize="9" scale="68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ON PYME VITALCAN SERIE A</vt:lpstr>
      <vt:lpstr>ON PYME VITALCAN SERIE B</vt:lpstr>
      <vt:lpstr>'ON PYME VITALCAN SERIE A'!Área_de_impresión</vt:lpstr>
      <vt:lpstr>'ON PYME VITALCAN SERIE B'!Área_de_impresión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2025-03-17T13:50:38Z</dcterms:modified>
</cp:coreProperties>
</file>