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Consumo XXXIV\"/>
    </mc:Choice>
  </mc:AlternateContent>
  <xr:revisionPtr revIDLastSave="0" documentId="13_ncr:1_{D92F468F-5E8B-494F-BE05-5A66A6C0E9E3}" xr6:coauthVersionLast="47" xr6:coauthVersionMax="47" xr10:uidLastSave="{00000000-0000-0000-0000-000000000000}"/>
  <bookViews>
    <workbookView xWindow="-120" yWindow="-120" windowWidth="20730" windowHeight="1116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  <c r="P11" i="1" l="1"/>
  <c r="E29" i="1"/>
  <c r="F29" i="1" s="1"/>
  <c r="L29" i="1"/>
  <c r="U29" i="1"/>
  <c r="E13" i="1"/>
  <c r="A38" i="1" l="1"/>
  <c r="U28" i="1" l="1"/>
  <c r="L28" i="1" s="1"/>
  <c r="E28" i="1"/>
  <c r="F28" i="1" s="1"/>
  <c r="E20" i="1"/>
  <c r="F20" i="1" s="1"/>
  <c r="U20" i="1"/>
  <c r="L20" i="1" s="1"/>
  <c r="U27" i="1" l="1"/>
  <c r="S19" i="1" l="1"/>
  <c r="I20" i="1" l="1"/>
  <c r="Q20" i="1"/>
  <c r="S20" i="1"/>
  <c r="I21" i="1" s="1"/>
  <c r="AB19" i="1"/>
  <c r="L27" i="1"/>
  <c r="E27" i="1"/>
  <c r="F27" i="1" s="1"/>
  <c r="U21" i="1"/>
  <c r="L21" i="1" s="1"/>
  <c r="R20" i="1" l="1"/>
  <c r="J20" i="1"/>
  <c r="U22" i="1"/>
  <c r="L22" i="1" s="1"/>
  <c r="AB20" i="1" l="1"/>
  <c r="Y19" i="1"/>
  <c r="W20" i="1" s="1"/>
  <c r="X20" i="1" l="1"/>
  <c r="Y20" i="1"/>
  <c r="Y21" i="1" s="1"/>
  <c r="Y22" i="1" s="1"/>
  <c r="G20" i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D74" i="1"/>
  <c r="O19" i="1"/>
  <c r="E35" i="1"/>
  <c r="F35" i="1" s="1"/>
  <c r="U23" i="1"/>
  <c r="L23" i="1" s="1"/>
  <c r="U24" i="1"/>
  <c r="L24" i="1" s="1"/>
  <c r="U25" i="1"/>
  <c r="L25" i="1" s="1"/>
  <c r="U26" i="1"/>
  <c r="L26" i="1" s="1"/>
  <c r="U19" i="1"/>
  <c r="Q21" i="1"/>
  <c r="AC29" i="1" l="1"/>
  <c r="AA20" i="1"/>
  <c r="AC28" i="1"/>
  <c r="AC20" i="1"/>
  <c r="H20" i="1"/>
  <c r="W21" i="1"/>
  <c r="G21" i="1"/>
  <c r="AC27" i="1"/>
  <c r="Y23" i="1"/>
  <c r="Y24" i="1" s="1"/>
  <c r="W23" i="1"/>
  <c r="X23" i="1" s="1"/>
  <c r="AA23" i="1" s="1"/>
  <c r="W22" i="1"/>
  <c r="X22" i="1" s="1"/>
  <c r="AA22" i="1" s="1"/>
  <c r="G22" i="1"/>
  <c r="AC19" i="1"/>
  <c r="G23" i="1"/>
  <c r="AC22" i="1"/>
  <c r="R21" i="1"/>
  <c r="S21" i="1"/>
  <c r="Q22" i="1" s="1"/>
  <c r="AC23" i="1"/>
  <c r="AC26" i="1"/>
  <c r="AC21" i="1"/>
  <c r="AC25" i="1"/>
  <c r="AC24" i="1"/>
  <c r="X21" i="1" l="1"/>
  <c r="G25" i="1"/>
  <c r="W25" i="1"/>
  <c r="W24" i="1"/>
  <c r="X24" i="1" s="1"/>
  <c r="G24" i="1"/>
  <c r="AB21" i="1"/>
  <c r="I22" i="1"/>
  <c r="S22" i="1"/>
  <c r="Q23" i="1" s="1"/>
  <c r="R22" i="1"/>
  <c r="J21" i="1"/>
  <c r="AA21" i="1" l="1"/>
  <c r="AB22" i="1"/>
  <c r="J22" i="1"/>
  <c r="S23" i="1"/>
  <c r="R23" i="1"/>
  <c r="I23" i="1"/>
  <c r="AA24" i="1"/>
  <c r="I24" i="1" l="1"/>
  <c r="Q24" i="1"/>
  <c r="J23" i="1"/>
  <c r="AB23" i="1"/>
  <c r="J24" i="1" l="1"/>
  <c r="R24" i="1" l="1"/>
  <c r="S24" i="1"/>
  <c r="Y25" i="1"/>
  <c r="W26" i="1" s="1"/>
  <c r="X25" i="1"/>
  <c r="V26" i="1" l="1"/>
  <c r="AA25" i="1"/>
  <c r="G26" i="1"/>
  <c r="I25" i="1"/>
  <c r="Q25" i="1"/>
  <c r="AB24" i="1"/>
  <c r="S25" i="1" l="1"/>
  <c r="J25" i="1"/>
  <c r="R25" i="1" l="1"/>
  <c r="Q26" i="1"/>
  <c r="P26" i="1" s="1"/>
  <c r="Y26" i="1"/>
  <c r="W27" i="1" s="1"/>
  <c r="X26" i="1"/>
  <c r="V27" i="1" l="1"/>
  <c r="G27" i="1"/>
  <c r="AA26" i="1"/>
  <c r="I26" i="1"/>
  <c r="AB25" i="1"/>
  <c r="Y27" i="1" l="1"/>
  <c r="S26" i="1"/>
  <c r="I27" i="1" s="1"/>
  <c r="X27" i="1"/>
  <c r="R26" i="1"/>
  <c r="J26" i="1"/>
  <c r="G28" i="1" l="1"/>
  <c r="W28" i="1"/>
  <c r="Q27" i="1"/>
  <c r="AA27" i="1"/>
  <c r="AB26" i="1"/>
  <c r="V28" i="1" l="1"/>
  <c r="J27" i="1"/>
  <c r="P27" i="1"/>
  <c r="Y28" i="1" l="1"/>
  <c r="X28" i="1"/>
  <c r="AA28" i="1" s="1"/>
  <c r="R27" i="1"/>
  <c r="S27" i="1"/>
  <c r="G29" i="1" l="1"/>
  <c r="W29" i="1"/>
  <c r="Q28" i="1"/>
  <c r="I28" i="1"/>
  <c r="AB27" i="1"/>
  <c r="V29" i="1" l="1"/>
  <c r="W36" i="1"/>
  <c r="P28" i="1"/>
  <c r="R28" i="1" s="1"/>
  <c r="Q36" i="1"/>
  <c r="J28" i="1"/>
  <c r="X29" i="1" l="1"/>
  <c r="V36" i="1"/>
  <c r="Y29" i="1"/>
  <c r="R36" i="1"/>
  <c r="AB28" i="1"/>
  <c r="AB36" i="1" s="1"/>
  <c r="AD28" i="1" s="1"/>
  <c r="P36" i="1"/>
  <c r="S28" i="1"/>
  <c r="Q29" i="1" l="1"/>
  <c r="P29" i="1" s="1"/>
  <c r="R29" i="1" s="1"/>
  <c r="I29" i="1"/>
  <c r="J29" i="1" s="1"/>
  <c r="AA29" i="1"/>
  <c r="B6" i="1"/>
  <c r="X36" i="1"/>
  <c r="AD20" i="1"/>
  <c r="AD21" i="1"/>
  <c r="AD22" i="1"/>
  <c r="AD23" i="1"/>
  <c r="AD27" i="1"/>
  <c r="AD19" i="1"/>
  <c r="AD25" i="1"/>
  <c r="AD26" i="1"/>
  <c r="AD24" i="1"/>
  <c r="AD29" i="1" l="1"/>
  <c r="AE29" i="1" s="1"/>
  <c r="AB29" i="1"/>
  <c r="B5" i="1"/>
  <c r="V7" i="1" s="1"/>
  <c r="AA19" i="1" s="1"/>
  <c r="AD36" i="1"/>
  <c r="AE19" i="1"/>
  <c r="AE27" i="1"/>
  <c r="W13" i="1" l="1"/>
  <c r="W14" i="1" s="1"/>
  <c r="AE20" i="1"/>
  <c r="AE28" i="1"/>
  <c r="G35" i="1"/>
  <c r="G38" i="1" s="1"/>
  <c r="H21" i="1" l="1"/>
  <c r="H22" i="1" s="1"/>
  <c r="H23" i="1" s="1"/>
  <c r="H24" i="1" s="1"/>
  <c r="AE21" i="1" l="1"/>
  <c r="AE26" i="1"/>
  <c r="AE23" i="1"/>
  <c r="AE22" i="1"/>
  <c r="AE25" i="1"/>
  <c r="AE24" i="1"/>
  <c r="H25" i="1"/>
  <c r="H26" i="1" s="1"/>
  <c r="P10" i="1" l="1"/>
  <c r="H27" i="1"/>
  <c r="H28" i="1" s="1"/>
  <c r="H29" i="1" s="1"/>
</calcChain>
</file>

<file path=xl/sharedStrings.xml><?xml version="1.0" encoding="utf-8"?>
<sst xmlns="http://schemas.openxmlformats.org/spreadsheetml/2006/main" count="55" uniqueCount="42">
  <si>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</si>
  <si>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</si>
  <si>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</si>
  <si>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</si>
  <si>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</si>
  <si>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</si>
  <si>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</si>
  <si>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</si>
  <si>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</si>
  <si>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</si>
  <si>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</si>
  <si>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 xml:space="preserve">Badlar proyectada </t>
  </si>
  <si>
    <t>INGRESAR BADLAR PROYECTADA</t>
  </si>
  <si>
    <t>Rendimiento ajustado s/ Badlar proyectada (TIR)</t>
  </si>
  <si>
    <t>Margen sobre Badlar con rendimiento ajustado</t>
  </si>
  <si>
    <t>Flujo teórico según Badlar proyectada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</si>
  <si>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</si>
  <si>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</si>
  <si>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</si>
  <si>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</si>
  <si>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</si>
  <si>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</si>
  <si>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</si>
  <si>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</si>
  <si>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</si>
  <si>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</si>
  <si>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</si>
  <si>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</si>
  <si>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</si>
  <si>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</si>
  <si>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</si>
  <si>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</si>
  <si>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</si>
  <si>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</si>
  <si>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</si>
  <si>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</si>
  <si>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</si>
  <si>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</si>
  <si>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</si>
  <si>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</si>
  <si>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</si>
  <si>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FF Mercado Crédito Consumo XXXIV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</si>
</sst>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#,##0\ &quot;bps&quot;"/>
    <numFmt numFmtId="173" formatCode="_ &quot;$&quot;\ * #,##0_ ;_ &quot;$&quot;\ * \-#,##0_ ;_ &quot;$&quot;\ * &quot;-&quot;_ ;_ @_ "/>
    <numFmt numFmtId="174" formatCode="_ * #,##0.0000_ ;_ * \-#,##0.0000_ ;_ * &quot;-&quot;??_ ;_ @_ "/>
    <numFmt numFmtId="175" formatCode="0.0000%"/>
    <numFmt numFmtId="176" formatCode="#,##0\ &quot;días&quot;"/>
    <numFmt numFmtId="177" formatCode="[$-F800]dddd\,\ mmmm\ dd\,\ yyyy"/>
    <numFmt numFmtId="178" formatCode="0.0000"/>
    <numFmt numFmtId="179" formatCode="0.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7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172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4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3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3" fontId="0" fillId="0" borderId="0" xfId="0" applyNumberFormat="1" applyProtection="1">
      <protection hidden="1"/>
    </xf>
    <xf numFmtId="173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3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3" fontId="2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center"/>
      <protection hidden="1"/>
    </xf>
    <xf numFmtId="175" fontId="10" fillId="0" borderId="0" xfId="8" applyNumberFormat="1" applyFont="1" applyAlignment="1" applyProtection="1">
      <alignment horizontal="center"/>
      <protection hidden="1"/>
    </xf>
    <xf numFmtId="175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7" fontId="0" fillId="0" borderId="0" xfId="0" applyNumberFormat="1" applyProtection="1">
      <protection hidden="1"/>
    </xf>
    <xf numFmtId="173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3" fontId="3" fillId="0" borderId="5" xfId="0" applyNumberFormat="1" applyFont="1" applyBorder="1" applyProtection="1">
      <protection hidden="1"/>
    </xf>
    <xf numFmtId="173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3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3" fontId="4" fillId="9" borderId="9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3" fontId="3" fillId="0" borderId="0" xfId="0" applyNumberFormat="1" applyFont="1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3" fontId="18" fillId="0" borderId="0" xfId="0" applyNumberFormat="1" applyFont="1" applyProtection="1">
      <protection hidden="1"/>
    </xf>
    <xf numFmtId="176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4" fontId="13" fillId="5" borderId="11" xfId="7" applyNumberFormat="1" applyFont="1" applyFill="1" applyBorder="1" applyAlignment="1" applyProtection="1">
      <alignment vertical="center"/>
      <protection hidden="1"/>
    </xf>
    <xf numFmtId="173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9" fontId="0" fillId="0" borderId="0" xfId="0" applyNumberFormat="1" applyProtection="1">
      <protection hidden="1"/>
    </xf>
    <xf numFmtId="15" fontId="35" fillId="2" borderId="13" xfId="10" applyNumberFormat="1" applyFont="1" applyFill="1" applyBorder="1" applyAlignment="1">
      <alignment horizontal="center"/>
    </xf>
    <xf numFmtId="178" fontId="35" fillId="3" borderId="13" xfId="10" applyNumberFormat="1" applyFont="1" applyFill="1" applyBorder="1" applyAlignment="1">
      <alignment horizontal="center"/>
    </xf>
    <xf numFmtId="175" fontId="20" fillId="7" borderId="12" xfId="3" applyNumberFormat="1" applyFont="1" applyFill="1" applyBorder="1" applyAlignment="1" applyProtection="1">
      <alignment horizontal="center" vertical="center"/>
      <protection locked="0" hidden="1"/>
    </xf>
    <xf numFmtId="175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175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9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9" fontId="0" fillId="2" borderId="0" xfId="0" applyNumberFormat="1" applyFill="1" applyProtection="1">
      <protection hidden="1"/>
    </xf>
    <xf numFmtId="2" fontId="7" fillId="2" borderId="0" xfId="3" applyNumberFormat="1" applyFill="1" applyProtection="1">
      <protection hidden="1"/>
    </xf>
    <xf numFmtId="9" fontId="2" fillId="9" borderId="10" xfId="2" applyFont="1" applyFill="1" applyBorder="1" applyProtection="1">
      <protection hidden="1"/>
    </xf>
    <xf numFmtId="3" fontId="0" fillId="0" borderId="0" xfId="0" applyNumberFormat="1"/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2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1" xr:uid="{7FBCDE06-8037-4106-B88C-8CB7797F7838}"/>
    <cellStyle name="Normal 100" xfId="12" xr:uid="{43018C4B-087B-479F-B43D-010ED71A06D6}"/>
    <cellStyle name="Normal 101" xfId="13" xr:uid="{67DE023D-8B6C-45B2-B170-E1062F323CB7}"/>
    <cellStyle name="Normal 102" xfId="14" xr:uid="{5BEB950B-C564-437A-BA61-CEA615BCC961}"/>
    <cellStyle name="Normal 103" xfId="15" xr:uid="{21BF98A7-8FA5-4DFA-927D-8D818AC5C079}"/>
    <cellStyle name="Normal 104" xfId="16" xr:uid="{B7BF6FA4-D12E-4525-9D98-147B7DA166EB}"/>
    <cellStyle name="Normal 105" xfId="17" xr:uid="{4839B328-667B-46E8-A421-159D9F4EA32C}"/>
    <cellStyle name="Normal 106" xfId="18" xr:uid="{9A97598E-B764-45D4-BE98-D0750DB6308C}"/>
    <cellStyle name="Normal 107" xfId="19" xr:uid="{320EBEF3-1431-4B0F-B3CE-D3CE461BF1E9}"/>
    <cellStyle name="Normal 108" xfId="20" xr:uid="{D8BC639D-9457-4390-8362-15A4871FBA76}"/>
    <cellStyle name="Normal 109" xfId="21" xr:uid="{DD9E05F9-259B-4CE3-B30B-374733F002DB}"/>
    <cellStyle name="Normal 11" xfId="22" xr:uid="{CB5FDFF1-8E23-4BE2-9740-3A939CF8DC55}"/>
    <cellStyle name="Normal 110" xfId="23" xr:uid="{2E34BEA5-37F4-417B-A702-B51249D2D72D}"/>
    <cellStyle name="Normal 111" xfId="24" xr:uid="{F88E721A-EBB3-41DC-88AE-C94CD01C16BE}"/>
    <cellStyle name="Normal 112" xfId="25" xr:uid="{E67F39AC-DAB9-4C25-8C14-41617D8803FD}"/>
    <cellStyle name="Normal 113" xfId="26" xr:uid="{3A53FA19-F9E2-4E42-8C72-32E264B1AD67}"/>
    <cellStyle name="Normal 114" xfId="27" xr:uid="{993E824A-5D29-4B27-A2D4-41EEF1E1786A}"/>
    <cellStyle name="Normal 115" xfId="28" xr:uid="{30250FAF-DA78-42DF-9F88-3B1C8DEF46D3}"/>
    <cellStyle name="Normal 116" xfId="29" xr:uid="{621340D2-8BAF-4F8B-943D-BD3E4E354397}"/>
    <cellStyle name="Normal 117" xfId="30" xr:uid="{9BCC5B75-68E2-4239-8B96-CD834849D5C8}"/>
    <cellStyle name="Normal 118" xfId="31" xr:uid="{E2E6AC9A-2F21-4665-99D4-B5E993EDE9A7}"/>
    <cellStyle name="Normal 119" xfId="32" xr:uid="{4F536EC6-3254-45B0-918B-4CC0A197C228}"/>
    <cellStyle name="Normal 12" xfId="33" xr:uid="{22CDAA10-A16F-45D2-8C5D-F348FF3A28F0}"/>
    <cellStyle name="Normal 120" xfId="34" xr:uid="{DDB960D5-65B7-4304-8457-1843D29219B6}"/>
    <cellStyle name="Normal 121" xfId="35" xr:uid="{10A9EEA2-C258-4AAF-87B9-BDF971FB4A85}"/>
    <cellStyle name="Normal 122" xfId="36" xr:uid="{7495C18C-BB4C-4BC1-BCAF-66E4F2DC80FB}"/>
    <cellStyle name="Normal 123" xfId="37" xr:uid="{ADC61E5D-146F-4B46-B3D3-886558017E9D}"/>
    <cellStyle name="Normal 124" xfId="38" xr:uid="{E97A1FEC-6B5A-4E36-8EA6-F23906468599}"/>
    <cellStyle name="Normal 125" xfId="39" xr:uid="{03B33180-B5EE-4BAD-8003-0424E4B87D54}"/>
    <cellStyle name="Normal 126" xfId="40" xr:uid="{9C381F95-93DC-419A-BD0E-3FC7A6C9E80B}"/>
    <cellStyle name="Normal 127" xfId="41" xr:uid="{9EDBF7AC-5EDE-43E7-84B9-FA65F65C29A4}"/>
    <cellStyle name="Normal 128" xfId="42" xr:uid="{8FEEC8F6-65F3-46EF-A886-BEEB68188FE0}"/>
    <cellStyle name="Normal 129" xfId="43" xr:uid="{36ED76C4-238F-47E0-843B-41AF730ECFC8}"/>
    <cellStyle name="Normal 13" xfId="44" xr:uid="{FBFB7FC8-184A-4EE6-A40F-0C0817B9DAEF}"/>
    <cellStyle name="Normal 130" xfId="45" xr:uid="{1C64AC92-EE86-4E1D-94A0-332E0C57E72C}"/>
    <cellStyle name="Normal 131" xfId="46" xr:uid="{133CC533-CCF8-4D5A-99D4-20BA8DF66A35}"/>
    <cellStyle name="Normal 132" xfId="47" xr:uid="{48154BF9-7CEB-4D83-93BF-B937E1FEB0B4}"/>
    <cellStyle name="Normal 133" xfId="48" xr:uid="{B72B033C-067B-488A-BBD0-DC64F4688998}"/>
    <cellStyle name="Normal 134" xfId="49" xr:uid="{FBA9FFD5-3293-45D3-AEA8-576E1F5A5480}"/>
    <cellStyle name="Normal 135" xfId="50" xr:uid="{EAA5FE1C-0BA7-4A65-85DF-B9D80A0770C6}"/>
    <cellStyle name="Normal 136" xfId="51" xr:uid="{2F50F75B-B577-424D-9F7A-48E8BDA969B4}"/>
    <cellStyle name="Normal 137" xfId="52" xr:uid="{8F1E7C72-0C31-437C-85E7-BEDE031744E3}"/>
    <cellStyle name="Normal 138" xfId="53" xr:uid="{08B4DA09-07EB-46B9-8BEF-C887E55466A2}"/>
    <cellStyle name="Normal 139" xfId="54" xr:uid="{269244FF-5D0D-4E89-88FD-F71436324E90}"/>
    <cellStyle name="Normal 14" xfId="55" xr:uid="{71E494BF-259F-4E01-9C08-EDA0D46BB708}"/>
    <cellStyle name="Normal 140" xfId="56" xr:uid="{AA3DFCCB-F19B-4FE7-A3BC-DD4C210F9908}"/>
    <cellStyle name="Normal 141" xfId="57" xr:uid="{A5CFBB43-0D3B-444C-9D0F-CAEE182A2E7F}"/>
    <cellStyle name="Normal 142" xfId="58" xr:uid="{8F12AF46-33DB-4BA0-98FA-2FAEE26184DF}"/>
    <cellStyle name="Normal 143" xfId="59" xr:uid="{A6C89E7D-E439-4640-A263-4D0420B1F338}"/>
    <cellStyle name="Normal 144" xfId="60" xr:uid="{B7D0DB12-AD63-4631-80BF-3336ADB37644}"/>
    <cellStyle name="Normal 145" xfId="61" xr:uid="{94372FAE-5B9A-4801-836D-ACAEC6D90E91}"/>
    <cellStyle name="Normal 146" xfId="62" xr:uid="{3055D4A5-8CA8-4A06-A95B-0D62A0D31F7D}"/>
    <cellStyle name="Normal 147" xfId="63" xr:uid="{0D7483E1-291F-443D-8F67-8C9891CF4B4D}"/>
    <cellStyle name="Normal 148" xfId="64" xr:uid="{CF9FBF6D-8EDD-4D44-8076-A4AF75BF06E1}"/>
    <cellStyle name="Normal 149" xfId="65" xr:uid="{67562C78-33FE-4A4D-B1CA-0F1F78403211}"/>
    <cellStyle name="Normal 15" xfId="66" xr:uid="{1323D5DD-A669-4E08-9854-F0E91DE7BB0A}"/>
    <cellStyle name="Normal 150" xfId="67" xr:uid="{A312DA9F-2331-455E-A39C-E28D086FB598}"/>
    <cellStyle name="Normal 151" xfId="68" xr:uid="{4456F332-E4F7-4191-A0B4-DF952EF0E3BE}"/>
    <cellStyle name="Normal 152" xfId="69" xr:uid="{C4928090-03EA-44C1-91F7-569D1150A7CE}"/>
    <cellStyle name="Normal 153" xfId="70" xr:uid="{3BDC12DF-C2B4-4483-833D-48D6526D1795}"/>
    <cellStyle name="Normal 154" xfId="71" xr:uid="{B7BF229B-17E7-46ED-B412-9DBEB5777599}"/>
    <cellStyle name="Normal 155" xfId="72" xr:uid="{34F15E81-C406-4BCF-8822-8E3CE6709622}"/>
    <cellStyle name="Normal 156" xfId="73" xr:uid="{FAEAE93A-B414-47BB-843B-5D469291C8D3}"/>
    <cellStyle name="Normal 157" xfId="74" xr:uid="{B1DCBF0F-8010-4304-8487-7AB183F1BA9E}"/>
    <cellStyle name="Normal 158" xfId="75" xr:uid="{5382E579-5C4E-45FE-8F16-2D60957BBF63}"/>
    <cellStyle name="Normal 159" xfId="76" xr:uid="{858AB415-07E2-4C54-AE88-A31245CCBB76}"/>
    <cellStyle name="Normal 16" xfId="77" xr:uid="{72D977C4-61D7-42EB-AAE3-67B34B087339}"/>
    <cellStyle name="Normal 160" xfId="78" xr:uid="{71453213-AC0D-4EED-9528-742560142CFD}"/>
    <cellStyle name="Normal 161" xfId="79" xr:uid="{ADA12287-1D42-4469-9ADA-3F8AC74A281C}"/>
    <cellStyle name="Normal 162" xfId="80" xr:uid="{49546360-14BD-4759-9C40-8FD2AD2642A3}"/>
    <cellStyle name="Normal 163" xfId="81" xr:uid="{E345A272-37CC-40D1-AC98-57448517359F}"/>
    <cellStyle name="Normal 164" xfId="82" xr:uid="{4F1D8967-D5A5-4858-9BB3-DB2B41DC4721}"/>
    <cellStyle name="Normal 164 2" xfId="83" xr:uid="{5F84D504-1FC1-4C57-8DEB-18FDCC4ABC90}"/>
    <cellStyle name="Normal 165" xfId="84" xr:uid="{5E0DB691-1CFC-403F-BA6E-8870E80DCDD7}"/>
    <cellStyle name="Normal 165 2" xfId="85" xr:uid="{7A4B8740-EA55-423C-9DBA-830FF462AA8E}"/>
    <cellStyle name="Normal 166" xfId="86" xr:uid="{6E14779B-A11B-4A6D-9B61-007D28CA3679}"/>
    <cellStyle name="Normal 166 2" xfId="87" xr:uid="{40055DCA-6A39-4EFB-A16C-E61DF3E968C9}"/>
    <cellStyle name="Normal 17" xfId="88" xr:uid="{501F0929-363E-4103-9E03-4DE0CBE126F2}"/>
    <cellStyle name="Normal 18" xfId="89" xr:uid="{CE04E38D-6EF8-4CE8-9865-C288042E36A9}"/>
    <cellStyle name="Normal 19" xfId="90" xr:uid="{DB37C850-FB06-4C4F-B3DC-F72E6AF94CA3}"/>
    <cellStyle name="Normal 2" xfId="91" xr:uid="{DC29B91B-7136-476D-835E-9D0E54BE9127}"/>
    <cellStyle name="Normal 2 10" xfId="92" xr:uid="{1730F28A-C770-4BF5-AE29-3838669F4368}"/>
    <cellStyle name="Normal 2 11" xfId="93" xr:uid="{99A96AF5-31F3-44E3-BBA1-DAC57F30159B}"/>
    <cellStyle name="Normal 2 12" xfId="94" xr:uid="{78C29F1F-F270-43B3-87AE-47274CD5BF39}"/>
    <cellStyle name="Normal 2 13" xfId="95" xr:uid="{B5C0CCFB-BF8E-41B5-ABD1-101DD3D05BDE}"/>
    <cellStyle name="Normal 2 14" xfId="96" xr:uid="{7F5EE9AA-6300-4993-B061-4D49D6AA6906}"/>
    <cellStyle name="Normal 2 15" xfId="97" xr:uid="{E94BDE85-931A-45A0-BC30-18C4C5AB48CC}"/>
    <cellStyle name="Normal 2 16" xfId="98" xr:uid="{66306C2A-428B-4F61-8724-FA3EE76E9D5B}"/>
    <cellStyle name="Normal 2 17" xfId="99" xr:uid="{36667F93-A57C-4866-98C3-511544050656}"/>
    <cellStyle name="Normal 2 18" xfId="100" xr:uid="{7649D1B1-FBA0-4BE0-B379-1D0B69FB91E0}"/>
    <cellStyle name="Normal 2 19" xfId="101" xr:uid="{876B6E53-445A-4E00-B7FE-50CB4593D019}"/>
    <cellStyle name="Normal 2 2" xfId="8" xr:uid="{7158FFAB-073E-4540-B9CE-634724580A46}"/>
    <cellStyle name="Normal 2 2 2" xfId="102" xr:uid="{ED7F33C4-853E-4CA1-8BC4-8F3D6062A4B0}"/>
    <cellStyle name="Normal 2 20" xfId="103" xr:uid="{DB34FCC3-EA5E-4857-8A39-FA91D4794A13}"/>
    <cellStyle name="Normal 2 21" xfId="104" xr:uid="{D5C715DD-8A10-4F3A-A722-89F2016F5B58}"/>
    <cellStyle name="Normal 2 22" xfId="105" xr:uid="{732CD4F1-76AA-442C-B172-33DAE9E2D86B}"/>
    <cellStyle name="Normal 2 23" xfId="106" xr:uid="{858F8B63-CB56-4199-A1C4-943DFA026872}"/>
    <cellStyle name="Normal 2 24" xfId="107" xr:uid="{9CFFAD4E-5B21-4744-8A92-426544DB4374}"/>
    <cellStyle name="Normal 2 25" xfId="108" xr:uid="{69EC8790-5A1D-42A3-848B-EB5B40EED043}"/>
    <cellStyle name="Normal 2 26" xfId="109" xr:uid="{966FFB3D-AEB3-48AB-B7EC-215FE4927B94}"/>
    <cellStyle name="Normal 2 27" xfId="110" xr:uid="{875699C3-A19B-43C7-9E36-887F502445CC}"/>
    <cellStyle name="Normal 2 28" xfId="111" xr:uid="{4702F0CB-F609-44E2-A6C5-17E0AAE69CBA}"/>
    <cellStyle name="Normal 2 29" xfId="112" xr:uid="{F9C29BEC-389C-4684-8E77-2496A61670B3}"/>
    <cellStyle name="Normal 2 3" xfId="113" xr:uid="{7E1F8F88-3CFA-4065-B299-053B9B8EFB67}"/>
    <cellStyle name="Normal 2 30" xfId="114" xr:uid="{B0CE1EBE-32C0-4C04-96E2-C7D39350E1DF}"/>
    <cellStyle name="Normal 2 31" xfId="115" xr:uid="{6AFE6868-55A3-4A9C-8807-AAF05111524E}"/>
    <cellStyle name="Normal 2 32" xfId="116" xr:uid="{15937D55-8438-4007-8833-0CDB70D300DF}"/>
    <cellStyle name="Normal 2 33" xfId="117" xr:uid="{9253257A-FAE0-44CC-9E77-8B8F4E20D109}"/>
    <cellStyle name="Normal 2 34" xfId="118" xr:uid="{9205E0B1-C75D-4AA9-98BE-18F779ACFC20}"/>
    <cellStyle name="Normal 2 35" xfId="119" xr:uid="{C13725D8-774E-4B8F-815C-2CDD6F7897B1}"/>
    <cellStyle name="Normal 2 36" xfId="120" xr:uid="{573B68E6-D8C6-4625-B029-342940731AE8}"/>
    <cellStyle name="Normal 2 37" xfId="121" xr:uid="{909B4615-01BD-4017-BAD4-9C8E2B730596}"/>
    <cellStyle name="Normal 2 38" xfId="122" xr:uid="{3CA3F064-4643-44C9-849B-FE41194E8691}"/>
    <cellStyle name="Normal 2 39" xfId="123" xr:uid="{814FE143-0AAC-43E4-A092-DBF43F1CC1B7}"/>
    <cellStyle name="Normal 2 4" xfId="124" xr:uid="{4AA3FEFA-14AF-447E-A76E-5AE1D58B71F2}"/>
    <cellStyle name="Normal 2 40" xfId="125" xr:uid="{73C0A3F3-EFBF-4CF7-AB83-4A8456FA6088}"/>
    <cellStyle name="Normal 2 41" xfId="126" xr:uid="{9F7C7907-256F-47E7-AFD0-9E1D09AB1B50}"/>
    <cellStyle name="Normal 2 42" xfId="127" xr:uid="{B9F07593-16A2-4E23-8260-BFB64D0EEE93}"/>
    <cellStyle name="Normal 2 43" xfId="128" xr:uid="{F2D276A6-CD5A-4C7B-957D-0EDFDA1E6BD0}"/>
    <cellStyle name="Normal 2 44" xfId="129" xr:uid="{D78D7193-4957-460B-A9BE-585135D83747}"/>
    <cellStyle name="Normal 2 45" xfId="130" xr:uid="{37180318-6A1F-40FC-B90F-E5C6970B9AFB}"/>
    <cellStyle name="Normal 2 46" xfId="131" xr:uid="{EC5AFF98-A241-4649-9BBF-2A1ADA461E72}"/>
    <cellStyle name="Normal 2 47" xfId="132" xr:uid="{E6BC685A-CE62-4395-8086-44647CE951B4}"/>
    <cellStyle name="Normal 2 48" xfId="133" xr:uid="{E1361C7F-103C-4BAA-A726-D2D4F9D9586F}"/>
    <cellStyle name="Normal 2 49" xfId="134" xr:uid="{80B4B6A5-E14E-4860-ACD4-40C8971C85FD}"/>
    <cellStyle name="Normal 2 5" xfId="135" xr:uid="{7AFDE119-02A8-4D36-B8EF-81ED1520DBB6}"/>
    <cellStyle name="Normal 2 50" xfId="136" xr:uid="{A1411FEF-DCB8-45C8-BF95-8CB807059D07}"/>
    <cellStyle name="Normal 2 51" xfId="137" xr:uid="{0A2AD818-CFD6-471B-B79B-F5AD5561BA11}"/>
    <cellStyle name="Normal 2 51 2" xfId="138" xr:uid="{386148DC-9F87-45FA-95F8-07045CCA0E45}"/>
    <cellStyle name="Normal 2 6" xfId="139" xr:uid="{B2652605-D40C-4F2C-96CE-D978DEE35DDA}"/>
    <cellStyle name="Normal 2 7" xfId="140" xr:uid="{E3DA3EC6-490C-49E4-BD65-CA75CC4DA6E6}"/>
    <cellStyle name="Normal 2 8" xfId="141" xr:uid="{59DA41F8-68B4-442C-B72D-F08B208A5C4D}"/>
    <cellStyle name="Normal 2 9" xfId="142" xr:uid="{F7A005D0-58F2-4EF1-97BE-F629BCDB1CC2}"/>
    <cellStyle name="Normal 20" xfId="143" xr:uid="{68081709-8AC9-4211-9126-64A7489BF1FA}"/>
    <cellStyle name="Normal 21" xfId="144" xr:uid="{A9B36D9F-9D09-47C7-ACE4-6787B27F3562}"/>
    <cellStyle name="Normal 22" xfId="145" xr:uid="{79C4C487-8C29-4ED0-9379-5257B088E160}"/>
    <cellStyle name="Normal 23" xfId="146" xr:uid="{C2788668-99BF-46B7-A1DF-35AC7056D5E2}"/>
    <cellStyle name="Normal 24" xfId="147" xr:uid="{57FD5995-B53B-4F50-A57D-7D6B01BA1650}"/>
    <cellStyle name="Normal 25" xfId="148" xr:uid="{7849573E-158E-478A-82AF-89A09AFEBD0A}"/>
    <cellStyle name="Normal 26" xfId="149" xr:uid="{C1FD8ACE-0C71-4539-B142-D41CEFD92F7F}"/>
    <cellStyle name="Normal 27" xfId="150" xr:uid="{1E73AA7C-1887-4B56-9123-319EAB602773}"/>
    <cellStyle name="Normal 28" xfId="151" xr:uid="{C7868761-48C6-4ABF-9EF4-E387DFB999E4}"/>
    <cellStyle name="Normal 29" xfId="152" xr:uid="{56ADCCB0-3F85-4C6C-8307-E800712546B2}"/>
    <cellStyle name="Normal 3" xfId="153" xr:uid="{1F5F0490-040A-4EB0-A653-79695A8300AE}"/>
    <cellStyle name="Normal 3 10" xfId="154" xr:uid="{27B8A9E5-B4B9-42D8-9A48-7C7CF94B3731}"/>
    <cellStyle name="Normal 3 2" xfId="155" xr:uid="{201A0A88-246A-4349-A3C8-14804131A3EE}"/>
    <cellStyle name="Normal 3 3" xfId="156" xr:uid="{CEE506AF-88EF-4540-98B7-8A8FA37CF9FA}"/>
    <cellStyle name="Normal 3 4" xfId="157" xr:uid="{78D1D55D-423F-40C6-A0BA-92479C1F3505}"/>
    <cellStyle name="Normal 3 5" xfId="158" xr:uid="{1165AB92-441A-4A51-86ED-097678AA73CE}"/>
    <cellStyle name="Normal 3 6" xfId="159" xr:uid="{B5CA64C0-09CC-4AA8-A8F9-EC7A5C8C0EF4}"/>
    <cellStyle name="Normal 3 7" xfId="160" xr:uid="{B07BE326-1799-4CD0-A982-43B320B7948F}"/>
    <cellStyle name="Normal 3 8" xfId="161" xr:uid="{3F40E7C8-0C8B-407C-95D5-E2235BD85CED}"/>
    <cellStyle name="Normal 3 9" xfId="162" xr:uid="{FC7465A2-20AF-452E-8333-AB2B58CA3920}"/>
    <cellStyle name="Normal 30" xfId="163" xr:uid="{D26F2D58-C63B-4322-BDEA-BA4A6C33D8D7}"/>
    <cellStyle name="Normal 31" xfId="164" xr:uid="{E1A5591D-BC7F-4FB8-83B1-B0F250B74DA9}"/>
    <cellStyle name="Normal 32" xfId="165" xr:uid="{F08E67E0-8AEE-431F-817E-7E54EF099962}"/>
    <cellStyle name="Normal 33" xfId="166" xr:uid="{D2160AC0-F11F-4AE0-AFCF-3530FEBC6252}"/>
    <cellStyle name="Normal 34" xfId="167" xr:uid="{9218F9CD-64D2-408A-9A85-650DE39D2603}"/>
    <cellStyle name="Normal 35" xfId="168" xr:uid="{8152E6AB-7ADB-4660-8E10-553A4EB984EA}"/>
    <cellStyle name="Normal 36" xfId="169" xr:uid="{438ED495-E037-461F-9DF5-2A0CC28DEE68}"/>
    <cellStyle name="Normal 37" xfId="170" xr:uid="{F5BCAE53-9831-4363-AC4F-249E8CEFC17A}"/>
    <cellStyle name="Normal 38" xfId="171" xr:uid="{62C007CC-0A42-4218-BA95-5BB8606A0C77}"/>
    <cellStyle name="Normal 39" xfId="172" xr:uid="{0FEBCA0A-39F5-45A8-8999-CBC7419D21CB}"/>
    <cellStyle name="Normal 4" xfId="173" xr:uid="{1856922C-E4B9-46ED-843E-C639CEEE52F2}"/>
    <cellStyle name="Normal 40" xfId="174" xr:uid="{42608CAF-34EE-4AD2-A00C-651398DB543D}"/>
    <cellStyle name="Normal 41" xfId="175" xr:uid="{C601E4E2-45EE-44F7-8C30-376BC4007738}"/>
    <cellStyle name="Normal 42" xfId="176" xr:uid="{93B580B8-4341-445E-95C8-356171C7C4BC}"/>
    <cellStyle name="Normal 43" xfId="177" xr:uid="{9A7FB4C6-9637-488D-AF28-1A5467263ED0}"/>
    <cellStyle name="Normal 44" xfId="178" xr:uid="{EEDAA2E7-E15F-47F9-BFDA-7C3965607EA3}"/>
    <cellStyle name="Normal 45" xfId="179" xr:uid="{58215E6E-7161-4ECD-9898-3952AA18C20F}"/>
    <cellStyle name="Normal 46" xfId="180" xr:uid="{D81EAF19-286C-4134-929F-E42AE2EDE008}"/>
    <cellStyle name="Normal 47" xfId="181" xr:uid="{894FEF23-2F18-4A22-A634-88FF6B4F6626}"/>
    <cellStyle name="Normal 48" xfId="182" xr:uid="{8C687146-3834-492B-BF85-F67F44287612}"/>
    <cellStyle name="Normal 49" xfId="183" xr:uid="{6A0EFABB-5533-4643-B1A1-0821979A7E29}"/>
    <cellStyle name="Normal 5" xfId="184" xr:uid="{B734BAD1-FF73-43FD-98DF-822104ACEBF5}"/>
    <cellStyle name="Normal 5 2" xfId="185" xr:uid="{0D6D8BB6-6BEA-4C51-AFA7-B895E5A5B2F7}"/>
    <cellStyle name="Normal 50" xfId="186" xr:uid="{DA4136F2-A1E4-4FD4-B10E-BE3CA1D12ED9}"/>
    <cellStyle name="Normal 51" xfId="187" xr:uid="{A50125F1-4274-459E-83F3-7F6F793258B6}"/>
    <cellStyle name="Normal 52" xfId="188" xr:uid="{48C40A33-7691-4024-8955-4C41A2BD97C7}"/>
    <cellStyle name="Normal 53" xfId="189" xr:uid="{BD5B89A8-BAA9-4DFE-8871-3D5C771421CC}"/>
    <cellStyle name="Normal 54" xfId="190" xr:uid="{F38E8B7E-80F1-4434-A367-43E8DF1AA268}"/>
    <cellStyle name="Normal 55" xfId="191" xr:uid="{D2605D08-373E-4A54-ADE9-812F52E26FA9}"/>
    <cellStyle name="Normal 56" xfId="192" xr:uid="{DB28022F-0D1B-42C3-AFEA-D10C670FF081}"/>
    <cellStyle name="Normal 57" xfId="193" xr:uid="{59AFBFD1-39E2-4268-A418-5D6008782F6D}"/>
    <cellStyle name="Normal 58" xfId="194" xr:uid="{3571C1B6-AF90-41A6-82A0-AD7710C37F76}"/>
    <cellStyle name="Normal 59" xfId="195" xr:uid="{DE506524-D290-4A67-9C19-9B57602343FC}"/>
    <cellStyle name="Normal 6" xfId="196" xr:uid="{F9BBFAE1-0E99-4E39-89E6-90018811CD52}"/>
    <cellStyle name="Normal 60" xfId="197" xr:uid="{13F75F58-EFBD-4049-ADE8-975111B35050}"/>
    <cellStyle name="Normal 61" xfId="198" xr:uid="{A35DBEBF-9C47-431B-A615-0026407FA2F7}"/>
    <cellStyle name="Normal 62" xfId="199" xr:uid="{CA07AA78-B475-4560-BB43-5542B7EAC989}"/>
    <cellStyle name="Normal 63" xfId="200" xr:uid="{FFBE84DB-72D1-483D-B01C-D6435EBFF485}"/>
    <cellStyle name="Normal 64" xfId="201" xr:uid="{B40C6CBB-2F68-4D2E-9DF8-9C9C578FA59C}"/>
    <cellStyle name="Normal 65" xfId="202" xr:uid="{B1E06C51-DDD5-4F5B-B4B4-55C273303DD9}"/>
    <cellStyle name="Normal 66" xfId="203" xr:uid="{FECC4590-EA3B-4C0D-B452-122FD9C5CB8C}"/>
    <cellStyle name="Normal 67" xfId="204" xr:uid="{939F6427-B3F1-4EE2-92E8-05F7F387D7E7}"/>
    <cellStyle name="Normal 68" xfId="205" xr:uid="{287A8E06-91F8-40E3-B030-BA14AA93AA15}"/>
    <cellStyle name="Normal 69" xfId="206" xr:uid="{22AA479C-96C8-4491-86FC-5F629F77028E}"/>
    <cellStyle name="Normal 7" xfId="207" xr:uid="{505B7052-0AEC-4011-8E18-1C9543C25612}"/>
    <cellStyle name="Normal 70" xfId="208" xr:uid="{5AA5A1E5-9896-4158-B2F6-09B638122B9E}"/>
    <cellStyle name="Normal 71" xfId="209" xr:uid="{A44E6696-C97E-41AB-AA9D-6963058DC9B1}"/>
    <cellStyle name="Normal 72" xfId="210" xr:uid="{EDC641D6-9398-4092-8F8E-65A216BDA1C6}"/>
    <cellStyle name="Normal 73" xfId="211" xr:uid="{6B21EAF4-8B84-4E46-B7BE-8DCEB79662AE}"/>
    <cellStyle name="Normal 74" xfId="212" xr:uid="{43A01FAA-A3C7-468C-AB89-7D5E4A168B46}"/>
    <cellStyle name="Normal 75" xfId="213" xr:uid="{33CF4A0A-F7D6-40DC-9CA9-49DECDE23A85}"/>
    <cellStyle name="Normal 76" xfId="214" xr:uid="{879E3D63-CAF7-4B50-974D-3DA987FF723B}"/>
    <cellStyle name="Normal 76 2" xfId="215" xr:uid="{5E7C5419-0332-4F8C-BEDC-2CD3ED357F7F}"/>
    <cellStyle name="Normal 77" xfId="216" xr:uid="{A7050107-044C-4701-AA95-EC2432FD819E}"/>
    <cellStyle name="Normal 78" xfId="217" xr:uid="{842BD0CC-1E2D-4D57-99FA-FE97BF34D4A0}"/>
    <cellStyle name="Normal 79" xfId="218" xr:uid="{B8BF2CE6-C97B-472B-A97C-5CD0643C08E0}"/>
    <cellStyle name="Normal 8" xfId="219" xr:uid="{C734AB2F-0908-449C-9D45-4E9EA7E70CB7}"/>
    <cellStyle name="Normal 80" xfId="220" xr:uid="{D27ED328-3FCF-4756-80B7-50C78B4F3B7D}"/>
    <cellStyle name="Normal 81" xfId="221" xr:uid="{6FD6A1F7-8087-4565-8240-3CB518B63DA3}"/>
    <cellStyle name="Normal 82" xfId="222" xr:uid="{292D0A2C-52C4-44C9-A1AF-F85636B76065}"/>
    <cellStyle name="Normal 83" xfId="223" xr:uid="{A9260C23-3A30-4F5E-B4C5-D208A9F55BC2}"/>
    <cellStyle name="Normal 84" xfId="224" xr:uid="{1C7227D1-5AD4-44D4-BA10-562C4648A495}"/>
    <cellStyle name="Normal 85" xfId="225" xr:uid="{9B353564-6719-471A-B2D7-00A8FB196B62}"/>
    <cellStyle name="Normal 86" xfId="226" xr:uid="{F20F77CF-F8FB-4744-82FB-786FC60D9510}"/>
    <cellStyle name="Normal 87" xfId="227" xr:uid="{38E5241C-2872-49B8-AB5A-4EDA3EEF9BC6}"/>
    <cellStyle name="Normal 88" xfId="228" xr:uid="{908318ED-B18C-467C-8FDE-E504EBA20CBA}"/>
    <cellStyle name="Normal 89" xfId="229" xr:uid="{37F55ACD-2241-49B1-9D22-E3E431FFD2D6}"/>
    <cellStyle name="Normal 9" xfId="230" xr:uid="{281F1810-09A7-4DD1-B6B8-FE7F9D438B9D}"/>
    <cellStyle name="Normal 90" xfId="231" xr:uid="{F21AA4EB-0C3F-4715-A1E2-F76C5BB06D02}"/>
    <cellStyle name="Normal 91" xfId="232" xr:uid="{8AFBE113-DB88-4C9F-B61C-7C81B62A7AD8}"/>
    <cellStyle name="Normal 92" xfId="233" xr:uid="{AADA3416-F96B-49B5-988C-DB5D124F2441}"/>
    <cellStyle name="Normal 93" xfId="234" xr:uid="{06AC5430-46B8-4CFD-87B3-C564762416DB}"/>
    <cellStyle name="Normal 94" xfId="235" xr:uid="{A6ECA7CA-E796-4F86-890C-42066861CD89}"/>
    <cellStyle name="Normal 95" xfId="236" xr:uid="{D98402CD-3A2A-4958-A147-182D746AFF9D}"/>
    <cellStyle name="Normal 96" xfId="237" xr:uid="{BBB3563E-148E-42EB-9F12-71DDAC54A6E1}"/>
    <cellStyle name="Normal 97" xfId="238" xr:uid="{57967D4E-8404-492F-8749-7926ACB9B8C8}"/>
    <cellStyle name="Normal 98" xfId="239" xr:uid="{708EFD22-5076-4F94-9381-D4C35096B723}"/>
    <cellStyle name="Normal 99" xfId="240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Normal_Tasas" xfId="10" xr:uid="{37454335-87EB-4BA4-A7B9-C8270AC1419D}"/>
    <cellStyle name="Porcentaje" xfId="2" builtinId="5"/>
    <cellStyle name="Porcentaje 2" xfId="9" xr:uid="{560FF5E9-9A15-435D-9055-F48A7B097765}"/>
    <cellStyle name="Porcentaje 2 2" xfId="241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35859</xdr:colOff>
      <xdr:row>2</xdr:row>
      <xdr:rowOff>39688</xdr:rowOff>
    </xdr:from>
    <xdr:to>
      <xdr:col>25</xdr:col>
      <xdr:colOff>759893</xdr:colOff>
      <xdr:row>4</xdr:row>
      <xdr:rowOff>85270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98D06-8B4D-4F7E-94F8-23FADF2B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2094" y="790482"/>
          <a:ext cx="1979093" cy="471406"/>
        </a:xfrm>
        <a:prstGeom prst="rect">
          <a:avLst/>
        </a:prstGeom>
      </xdr:spPr>
    </xdr:pic>
    <xdr:clientData/>
  </xdr:twoCellAnchor>
  <xdr:twoCellAnchor editAs="oneCell">
    <xdr:from>
      <xdr:col>23</xdr:col>
      <xdr:colOff>2106083</xdr:colOff>
      <xdr:row>0</xdr:row>
      <xdr:rowOff>79375</xdr:rowOff>
    </xdr:from>
    <xdr:to>
      <xdr:col>25</xdr:col>
      <xdr:colOff>522700</xdr:colOff>
      <xdr:row>1</xdr:row>
      <xdr:rowOff>221546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6504A6-56A2-359E-7215-B251A91F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25583" y="79375"/>
          <a:ext cx="1664641" cy="5866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A1:AE74"/>
  <sheetViews>
    <sheetView showGridLines="0" tabSelected="1" topLeftCell="N3" zoomScale="90" zoomScaleNormal="90" workbookViewId="0">
      <selection activeCell="V6" sqref="V6"/>
    </sheetView>
  </sheetViews>
  <sheetFormatPr baseColWidth="10" defaultColWidth="18.85546875" defaultRowHeight="15" x14ac:dyDescent="0.25"/>
  <cols>
    <col min="1" max="1" width="22.140625" style="16" hidden="1" customWidth="1"/>
    <col min="2" max="2" width="18.28515625" style="16" hidden="1" customWidth="1"/>
    <col min="3" max="3" width="22.140625" style="16" hidden="1" customWidth="1"/>
    <col min="4" max="4" width="19.42578125" style="16" hidden="1" customWidth="1"/>
    <col min="5" max="5" width="39.7109375" style="16" hidden="1" customWidth="1"/>
    <col min="6" max="6" width="21.5703125" style="16" hidden="1" customWidth="1"/>
    <col min="7" max="7" width="16.28515625" style="16" hidden="1" customWidth="1"/>
    <col min="8" max="8" width="17.42578125" style="16" hidden="1" customWidth="1"/>
    <col min="9" max="9" width="15.7109375" style="16" hidden="1" customWidth="1"/>
    <col min="10" max="10" width="17.42578125" style="16" hidden="1" customWidth="1"/>
    <col min="11" max="11" width="7" style="16" hidden="1" customWidth="1"/>
    <col min="12" max="12" width="36.5703125" style="16" hidden="1" customWidth="1"/>
    <col min="13" max="13" width="7.7109375" style="16" hidden="1" customWidth="1"/>
    <col min="14" max="14" width="24.5703125" style="16" customWidth="1"/>
    <col min="15" max="15" width="21.140625" style="16" customWidth="1"/>
    <col min="16" max="16" width="18.140625" style="16" customWidth="1"/>
    <col min="17" max="19" width="18" style="16" customWidth="1"/>
    <col min="20" max="21" width="17.140625" style="16" customWidth="1"/>
    <col min="22" max="25" width="18" style="16" customWidth="1"/>
    <col min="26" max="26" width="24.5703125" style="16" customWidth="1"/>
    <col min="27" max="27" width="19.5703125" style="59" hidden="1" customWidth="1"/>
    <col min="28" max="28" width="17.85546875" style="59" hidden="1" customWidth="1"/>
    <col min="29" max="29" width="9.7109375" style="16" hidden="1" customWidth="1"/>
    <col min="30" max="30" width="16.28515625" style="16" hidden="1" customWidth="1"/>
    <col min="31" max="31" width="19.42578125" style="16" hidden="1" customWidth="1"/>
    <col min="32" max="33" width="18.85546875" style="16" customWidth="1"/>
    <col min="34" max="16384" width="18.85546875" style="16"/>
  </cols>
  <sheetData>
    <row r="1" spans="1:29" s="1" customFormat="1" ht="34.5" customHeight="1" x14ac:dyDescent="0.3">
      <c r="O1" s="2" t="s">
        <v>41</v>
      </c>
      <c r="S1" s="3"/>
      <c r="T1" s="4"/>
      <c r="AA1" s="5"/>
      <c r="AB1" s="5"/>
    </row>
    <row r="2" spans="1:29" s="1" customFormat="1" ht="24.75" x14ac:dyDescent="0.3">
      <c r="O2" s="6" t="s">
        <v>39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1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1:29" s="12" customFormat="1" ht="15.75" thickBot="1" x14ac:dyDescent="0.3">
      <c r="O4" s="17" t="s">
        <v>32</v>
      </c>
      <c r="P4" s="18">
        <v>20149995253</v>
      </c>
      <c r="Q4" s="120"/>
      <c r="R4" s="121"/>
      <c r="S4" s="9"/>
      <c r="W4" s="13"/>
      <c r="X4" s="14"/>
      <c r="Y4" s="15"/>
      <c r="AA4" s="123"/>
      <c r="AB4" s="124"/>
      <c r="AC4" s="125"/>
    </row>
    <row r="5" spans="1:29" s="1" customFormat="1" ht="15.75" thickBot="1" x14ac:dyDescent="0.3">
      <c r="A5" s="19" t="s">
        <v>0</v>
      </c>
      <c r="B5" s="20">
        <f>+XNPV($V$6,R19:R29,O19:O29)</f>
        <v>19056941357.608288</v>
      </c>
      <c r="O5" s="21"/>
      <c r="P5" s="22"/>
      <c r="Q5" s="10"/>
      <c r="S5" s="23"/>
      <c r="X5" s="16"/>
      <c r="Y5" s="24"/>
      <c r="AA5" s="126"/>
      <c r="AB5" s="25"/>
      <c r="AC5" s="10"/>
    </row>
    <row r="6" spans="1:29" s="1" customFormat="1" ht="19.5" thickBot="1" x14ac:dyDescent="0.3">
      <c r="A6" s="19" t="s">
        <v>1</v>
      </c>
      <c r="B6" s="20">
        <f>+XNPV($V$6,X19:X29,U19:U29)</f>
        <v>21483783806.181484</v>
      </c>
      <c r="E6" s="136"/>
      <c r="N6" s="147"/>
      <c r="O6" s="26" t="s">
        <v>2</v>
      </c>
      <c r="P6" s="27"/>
      <c r="Q6" s="10"/>
      <c r="S6" s="34" t="s">
        <v>33</v>
      </c>
      <c r="T6" s="35"/>
      <c r="U6" s="35"/>
      <c r="V6" s="36">
        <v>0.2477</v>
      </c>
      <c r="W6" s="28" t="s">
        <v>35</v>
      </c>
      <c r="Y6" s="29"/>
      <c r="AA6" s="25"/>
      <c r="AB6" s="25"/>
      <c r="AC6" s="10"/>
    </row>
    <row r="7" spans="1:29" s="1" customFormat="1" ht="15.75" thickBot="1" x14ac:dyDescent="0.3">
      <c r="A7" s="30"/>
      <c r="B7" s="31"/>
      <c r="E7" s="135"/>
      <c r="G7" s="143"/>
      <c r="O7" s="32" t="s">
        <v>3</v>
      </c>
      <c r="P7" s="33">
        <v>0.15</v>
      </c>
      <c r="Q7" s="10"/>
      <c r="S7" s="43" t="s">
        <v>8</v>
      </c>
      <c r="T7" s="44"/>
      <c r="U7" s="44"/>
      <c r="V7" s="127">
        <f>+ROUND((B5/P4)*100,4)</f>
        <v>94.575400000000002</v>
      </c>
      <c r="W7" s="39"/>
      <c r="X7" s="16"/>
      <c r="AA7" s="37"/>
      <c r="AB7" s="37"/>
      <c r="AC7" s="16"/>
    </row>
    <row r="8" spans="1:29" s="1" customFormat="1" x14ac:dyDescent="0.25">
      <c r="A8" s="16" t="s">
        <v>4</v>
      </c>
      <c r="B8" s="16">
        <v>360</v>
      </c>
      <c r="O8" s="32" t="s">
        <v>5</v>
      </c>
      <c r="P8" s="33">
        <v>0.6</v>
      </c>
      <c r="Q8" s="38"/>
      <c r="R8" s="16"/>
      <c r="W8" s="45"/>
      <c r="Y8" s="16"/>
      <c r="AA8" s="37"/>
      <c r="AB8" s="37"/>
      <c r="AC8" s="16"/>
    </row>
    <row r="9" spans="1:29" s="1" customFormat="1" ht="19.5" thickBot="1" x14ac:dyDescent="0.35">
      <c r="O9" s="41" t="s">
        <v>7</v>
      </c>
      <c r="P9" s="42">
        <v>200</v>
      </c>
      <c r="Q9" s="38"/>
      <c r="R9" s="16"/>
      <c r="S9" s="116" t="s">
        <v>36</v>
      </c>
      <c r="T9" s="117"/>
      <c r="U9" s="117"/>
      <c r="V9" s="117"/>
      <c r="W9" s="117"/>
      <c r="X9" s="118"/>
      <c r="AA9" s="37"/>
      <c r="AB9" s="37"/>
      <c r="AC9" s="16"/>
    </row>
    <row r="10" spans="1:29" s="1" customFormat="1" ht="19.5" thickBot="1" x14ac:dyDescent="0.3">
      <c r="O10" s="41" t="s">
        <v>9</v>
      </c>
      <c r="P10" s="46">
        <f>+SUM(AE19:AE28)/(360/12)</f>
        <v>7.592682219365229</v>
      </c>
      <c r="Q10" s="10"/>
      <c r="S10" s="119" t="s">
        <v>11</v>
      </c>
      <c r="T10" s="49"/>
      <c r="U10" s="50"/>
      <c r="V10" s="50"/>
      <c r="W10" s="144">
        <v>0.35812500000000003</v>
      </c>
      <c r="X10" s="28" t="s">
        <v>12</v>
      </c>
      <c r="Y10" s="10"/>
      <c r="AA10" s="37"/>
      <c r="AB10" s="37"/>
      <c r="AC10" s="16"/>
    </row>
    <row r="11" spans="1:29" s="1" customFormat="1" ht="15.75" thickBot="1" x14ac:dyDescent="0.3">
      <c r="O11" s="47" t="s">
        <v>10</v>
      </c>
      <c r="P11" s="48">
        <f>+O28-Q14</f>
        <v>274</v>
      </c>
      <c r="Q11" s="148"/>
      <c r="Y11" s="51"/>
      <c r="AA11" s="37"/>
      <c r="AB11" s="37"/>
      <c r="AC11" s="16"/>
    </row>
    <row r="12" spans="1:29" s="1" customFormat="1" ht="15.75" thickBot="1" x14ac:dyDescent="0.3">
      <c r="C12" s="5"/>
      <c r="S12" s="110" t="s">
        <v>13</v>
      </c>
      <c r="T12" s="111"/>
      <c r="U12" s="111"/>
      <c r="V12" s="111"/>
      <c r="W12" s="133">
        <f>+XIRR(AA19:AA29,U19:U29)</f>
        <v>0.52296072840690611</v>
      </c>
      <c r="AA12" s="37"/>
      <c r="AB12" s="37"/>
      <c r="AC12" s="16"/>
    </row>
    <row r="13" spans="1:29" s="1" customFormat="1" ht="19.5" thickBot="1" x14ac:dyDescent="0.3">
      <c r="B13" s="5"/>
      <c r="C13" s="136">
        <v>45499</v>
      </c>
      <c r="D13" s="137">
        <v>10</v>
      </c>
      <c r="E13" s="143">
        <f>+C14-C13+1</f>
        <v>5</v>
      </c>
      <c r="O13" s="45"/>
      <c r="P13" s="45"/>
      <c r="Q13" s="45"/>
      <c r="S13" s="112" t="s">
        <v>6</v>
      </c>
      <c r="T13" s="113"/>
      <c r="U13" s="113"/>
      <c r="V13" s="114"/>
      <c r="W13" s="115">
        <f>+NOMINAL(W12,12)</f>
        <v>0.42811618886427993</v>
      </c>
      <c r="X13" s="28"/>
      <c r="Y13" s="10"/>
      <c r="AA13" s="25"/>
      <c r="AB13" s="25"/>
      <c r="AC13" s="16"/>
    </row>
    <row r="14" spans="1:29" s="1" customFormat="1" ht="15.75" thickBot="1" x14ac:dyDescent="0.3">
      <c r="B14" s="8"/>
      <c r="C14" s="135">
        <v>45503</v>
      </c>
      <c r="D14" s="8">
        <v>30</v>
      </c>
      <c r="E14" s="8"/>
      <c r="O14" s="130" t="s">
        <v>34</v>
      </c>
      <c r="P14" s="131"/>
      <c r="Q14" s="132">
        <v>45488</v>
      </c>
      <c r="R14" s="10"/>
      <c r="S14" s="43" t="s">
        <v>14</v>
      </c>
      <c r="T14" s="44"/>
      <c r="U14" s="44"/>
      <c r="V14" s="55"/>
      <c r="W14" s="56">
        <f>+W13-W10</f>
        <v>6.9991188864279907E-2</v>
      </c>
      <c r="X14" s="45"/>
      <c r="Y14" s="51"/>
      <c r="AA14" s="25"/>
      <c r="AB14" s="25"/>
      <c r="AC14" s="16"/>
    </row>
    <row r="15" spans="1:29" s="45" customFormat="1" x14ac:dyDescent="0.25">
      <c r="B15" s="52"/>
      <c r="C15" s="85"/>
      <c r="D15" s="52"/>
      <c r="E15" s="52"/>
      <c r="L15" s="53"/>
      <c r="M15" s="53"/>
      <c r="R15" s="53"/>
      <c r="Y15" s="129"/>
      <c r="AA15" s="54"/>
      <c r="AB15" s="54"/>
    </row>
    <row r="16" spans="1:29" ht="16.5" thickBot="1" x14ac:dyDescent="0.3">
      <c r="O16" s="57" t="s">
        <v>37</v>
      </c>
      <c r="P16" s="58"/>
      <c r="Q16" s="58"/>
      <c r="R16" s="58"/>
      <c r="S16" s="58"/>
      <c r="T16" s="58"/>
      <c r="U16" s="57" t="s">
        <v>15</v>
      </c>
    </row>
    <row r="17" spans="1:31" ht="16.5" thickBot="1" x14ac:dyDescent="0.3">
      <c r="A17" s="153"/>
      <c r="C17" s="60" t="s">
        <v>16</v>
      </c>
      <c r="D17" s="60"/>
      <c r="F17" s="60"/>
      <c r="G17" s="60" t="s">
        <v>17</v>
      </c>
      <c r="H17" s="60"/>
      <c r="I17" s="60"/>
      <c r="J17" s="60" t="s">
        <v>18</v>
      </c>
      <c r="K17" s="60"/>
      <c r="O17" s="154" t="s">
        <v>38</v>
      </c>
      <c r="P17" s="155"/>
      <c r="Q17" s="155"/>
      <c r="R17" s="155"/>
      <c r="S17" s="156"/>
      <c r="U17" s="154" t="s">
        <v>38</v>
      </c>
      <c r="V17" s="155"/>
      <c r="W17" s="155"/>
      <c r="X17" s="155"/>
      <c r="Y17" s="156"/>
      <c r="AA17" s="61" t="s">
        <v>19</v>
      </c>
      <c r="AB17" s="62" t="s">
        <v>20</v>
      </c>
      <c r="AC17" s="62" t="s">
        <v>21</v>
      </c>
      <c r="AD17" s="62" t="s">
        <v>22</v>
      </c>
      <c r="AE17" s="63" t="s">
        <v>23</v>
      </c>
    </row>
    <row r="18" spans="1:31" ht="19.5" thickBot="1" x14ac:dyDescent="0.3">
      <c r="A18" s="153"/>
      <c r="B18" s="64"/>
      <c r="C18" s="60" t="s">
        <v>21</v>
      </c>
      <c r="D18" s="108" t="s">
        <v>11</v>
      </c>
      <c r="E18" s="109" t="s">
        <v>12</v>
      </c>
      <c r="F18" s="153" t="s">
        <v>24</v>
      </c>
      <c r="G18" s="152" t="s">
        <v>25</v>
      </c>
      <c r="H18" s="60" t="s">
        <v>26</v>
      </c>
      <c r="I18" s="152" t="s">
        <v>25</v>
      </c>
      <c r="J18" s="60" t="s">
        <v>26</v>
      </c>
      <c r="K18" s="60"/>
      <c r="O18" s="65" t="s">
        <v>27</v>
      </c>
      <c r="P18" s="66" t="s">
        <v>28</v>
      </c>
      <c r="Q18" s="66" t="s">
        <v>31</v>
      </c>
      <c r="R18" s="66" t="s">
        <v>29</v>
      </c>
      <c r="S18" s="67" t="s">
        <v>30</v>
      </c>
      <c r="T18" s="68"/>
      <c r="U18" s="65" t="s">
        <v>27</v>
      </c>
      <c r="V18" s="66" t="s">
        <v>28</v>
      </c>
      <c r="W18" s="66" t="s">
        <v>31</v>
      </c>
      <c r="X18" s="66" t="s">
        <v>29</v>
      </c>
      <c r="Y18" s="67" t="s">
        <v>30</v>
      </c>
      <c r="AA18" s="69"/>
      <c r="AB18" s="70"/>
      <c r="AC18" s="71"/>
      <c r="AD18" s="71"/>
      <c r="AE18" s="72"/>
    </row>
    <row r="19" spans="1:31" ht="15.75" thickBot="1" x14ac:dyDescent="0.3">
      <c r="A19" s="73"/>
      <c r="B19" s="64"/>
      <c r="C19" s="64"/>
      <c r="D19" s="64"/>
      <c r="E19" s="107"/>
      <c r="F19" s="153"/>
      <c r="G19" s="152"/>
      <c r="H19" s="74">
        <v>0</v>
      </c>
      <c r="I19" s="152"/>
      <c r="J19" s="74">
        <v>0</v>
      </c>
      <c r="K19" s="74"/>
      <c r="O19" s="76">
        <f>+Q14</f>
        <v>45488</v>
      </c>
      <c r="P19" s="77"/>
      <c r="Q19" s="77"/>
      <c r="R19" s="78">
        <v>0</v>
      </c>
      <c r="S19" s="79">
        <f>P4</f>
        <v>20149995253</v>
      </c>
      <c r="U19" s="80">
        <f>+Q14</f>
        <v>45488</v>
      </c>
      <c r="V19" s="60"/>
      <c r="W19" s="60"/>
      <c r="X19" s="75">
        <v>0</v>
      </c>
      <c r="Y19" s="81">
        <f>+P4</f>
        <v>20149995253</v>
      </c>
      <c r="AA19" s="82">
        <f>-(V7*Y19/100)</f>
        <v>-19056938610.50576</v>
      </c>
      <c r="AB19" s="83">
        <f>-S19</f>
        <v>-20149995253</v>
      </c>
      <c r="AC19" s="71">
        <f>+O19-$O$19</f>
        <v>0</v>
      </c>
      <c r="AD19" s="71">
        <f>+R19/((1+$AB$36)^(AC19/365))</f>
        <v>0</v>
      </c>
      <c r="AE19" s="72">
        <f t="shared" ref="AE19:AE27" si="0">+AD19/$AD$36*AC19</f>
        <v>0</v>
      </c>
    </row>
    <row r="20" spans="1:31" ht="15.75" thickBot="1" x14ac:dyDescent="0.3">
      <c r="A20" s="84">
        <v>41979157</v>
      </c>
      <c r="B20" s="64"/>
      <c r="C20" s="85">
        <v>5</v>
      </c>
      <c r="D20" s="106"/>
      <c r="E20" s="142">
        <f t="shared" ref="E20:E35" si="1">+$W$10</f>
        <v>0.35812500000000003</v>
      </c>
      <c r="F20" s="87">
        <f>+MAX($P$7,MIN($P$8,$E20+$P$9/10000))</f>
        <v>0.37812500000000004</v>
      </c>
      <c r="G20" s="74">
        <f>+((F20*Y19)/$B$8)*$C20</f>
        <v>105822457.70889758</v>
      </c>
      <c r="H20" s="74">
        <f>H19+G20-W20</f>
        <v>0</v>
      </c>
      <c r="I20" s="74">
        <f>+(($P$7*S19)/$B$8)*$C20</f>
        <v>41979156.777083337</v>
      </c>
      <c r="J20" s="74">
        <f>J19+I20-Q20</f>
        <v>0</v>
      </c>
      <c r="K20" s="74"/>
      <c r="L20" s="89">
        <f t="shared" ref="L20:L27" si="2">+U20</f>
        <v>45519</v>
      </c>
      <c r="M20" s="89"/>
      <c r="N20" s="89"/>
      <c r="O20" s="134">
        <v>45519</v>
      </c>
      <c r="P20" s="90">
        <v>0</v>
      </c>
      <c r="Q20" s="90">
        <f>+(($P$7*S19)/$B$8)*$C20</f>
        <v>41979156.777083337</v>
      </c>
      <c r="R20" s="90">
        <f t="shared" ref="R20:R26" si="3">P20+Q20</f>
        <v>41979156.777083337</v>
      </c>
      <c r="S20" s="91">
        <f>+S19-P20</f>
        <v>20149995253</v>
      </c>
      <c r="U20" s="40">
        <f t="shared" ref="U20:U27" si="4">+O20</f>
        <v>45519</v>
      </c>
      <c r="V20" s="128">
        <v>0</v>
      </c>
      <c r="W20" s="74">
        <f>+((F20*Y19)/$B$8)*$C20</f>
        <v>105822457.70889758</v>
      </c>
      <c r="X20" s="74">
        <f>+W20+V20</f>
        <v>105822457.70889758</v>
      </c>
      <c r="Y20" s="92">
        <f>+Y19-V20</f>
        <v>20149995253</v>
      </c>
      <c r="Z20" s="74"/>
      <c r="AA20" s="93">
        <f>+X20</f>
        <v>105822457.70889758</v>
      </c>
      <c r="AB20" s="94">
        <f>+R20</f>
        <v>41979156.777083337</v>
      </c>
      <c r="AC20" s="71">
        <f t="shared" ref="AC20:AC26" si="5">+O20-$O$19</f>
        <v>31</v>
      </c>
      <c r="AD20" s="71">
        <f t="shared" ref="AD20:AD29" si="6">+R20/((1+$AB$36)^(AC20/360))</f>
        <v>41505170.222176708</v>
      </c>
      <c r="AE20" s="72">
        <f t="shared" si="0"/>
        <v>6.3927148240693232E-2</v>
      </c>
    </row>
    <row r="21" spans="1:31" ht="15.75" thickBot="1" x14ac:dyDescent="0.3">
      <c r="A21" s="84">
        <v>251874941</v>
      </c>
      <c r="B21" s="64"/>
      <c r="C21" s="85">
        <v>30</v>
      </c>
      <c r="D21" s="106"/>
      <c r="E21" s="142">
        <f t="shared" si="1"/>
        <v>0.35812500000000003</v>
      </c>
      <c r="F21" s="87">
        <f t="shared" ref="F21:F29" si="7">+MAX($P$7,MIN($P$8,$E21+$P$9/10000))</f>
        <v>0.37812500000000004</v>
      </c>
      <c r="G21" s="74">
        <f>+((F21*Y20)/$B$8)*$C21</f>
        <v>634934746.25338542</v>
      </c>
      <c r="H21" s="74">
        <f t="shared" ref="H21:H24" si="8">H20+G21-W21</f>
        <v>0</v>
      </c>
      <c r="I21" s="74">
        <f>+(($P$7*S20)/$B$8)*$C21</f>
        <v>251874940.66249999</v>
      </c>
      <c r="J21" s="74">
        <f>+J20+I21-Q21</f>
        <v>0</v>
      </c>
      <c r="K21" s="74"/>
      <c r="L21" s="89">
        <f>+U21</f>
        <v>45550</v>
      </c>
      <c r="M21" s="89"/>
      <c r="N21" s="89"/>
      <c r="O21" s="134">
        <v>45550</v>
      </c>
      <c r="P21" s="90">
        <v>0</v>
      </c>
      <c r="Q21" s="90">
        <f t="shared" ref="Q21:Q25" si="9">+(($P$7*S20)/$B$8)*$C21</f>
        <v>251874940.66249999</v>
      </c>
      <c r="R21" s="90">
        <f t="shared" si="3"/>
        <v>251874940.66249999</v>
      </c>
      <c r="S21" s="91">
        <f t="shared" ref="S21:S24" si="10">+S20-P21</f>
        <v>20149995253</v>
      </c>
      <c r="U21" s="40">
        <f>+O21</f>
        <v>45550</v>
      </c>
      <c r="V21" s="128">
        <v>0</v>
      </c>
      <c r="W21" s="74">
        <f>+((F21*Y20)/$B$8)*$C21</f>
        <v>634934746.25338542</v>
      </c>
      <c r="X21" s="74">
        <f t="shared" ref="X21:X27" si="11">+W21+V21</f>
        <v>634934746.25338542</v>
      </c>
      <c r="Y21" s="92">
        <f t="shared" ref="Y21:Y22" si="12">+Y20-V21</f>
        <v>20149995253</v>
      </c>
      <c r="Z21" s="122"/>
      <c r="AA21" s="93">
        <f t="shared" ref="AA21:AA23" si="13">+X21</f>
        <v>634934746.25338542</v>
      </c>
      <c r="AB21" s="94">
        <f t="shared" ref="AB21:AB26" si="14">+R21</f>
        <v>251874940.66249999</v>
      </c>
      <c r="AC21" s="71">
        <f t="shared" si="5"/>
        <v>62</v>
      </c>
      <c r="AD21" s="71">
        <f t="shared" si="6"/>
        <v>246219212.68970576</v>
      </c>
      <c r="AE21" s="72">
        <f t="shared" si="0"/>
        <v>0.75846416362419722</v>
      </c>
    </row>
    <row r="22" spans="1:31" ht="15.75" thickBot="1" x14ac:dyDescent="0.3">
      <c r="A22" s="84">
        <v>251874941</v>
      </c>
      <c r="B22" s="64"/>
      <c r="C22" s="85">
        <v>30</v>
      </c>
      <c r="D22" s="106"/>
      <c r="E22" s="142">
        <f t="shared" si="1"/>
        <v>0.35812500000000003</v>
      </c>
      <c r="F22" s="87">
        <f t="shared" si="7"/>
        <v>0.37812500000000004</v>
      </c>
      <c r="G22" s="74">
        <f t="shared" ref="G22:G27" si="15">+((F22*Y21)/$B$8)*$C22</f>
        <v>634934746.25338542</v>
      </c>
      <c r="H22" s="74">
        <f t="shared" si="8"/>
        <v>0</v>
      </c>
      <c r="I22" s="74">
        <f t="shared" ref="I22:I27" si="16">+(($P$7*S21)/$B$8)*$C22</f>
        <v>251874940.66249999</v>
      </c>
      <c r="J22" s="74">
        <f>+J21+I22-Q22</f>
        <v>0</v>
      </c>
      <c r="K22" s="74"/>
      <c r="L22" s="89">
        <f>+U22</f>
        <v>45580</v>
      </c>
      <c r="M22" s="89"/>
      <c r="N22" s="89"/>
      <c r="O22" s="134">
        <v>45580</v>
      </c>
      <c r="P22" s="90">
        <v>0</v>
      </c>
      <c r="Q22" s="90">
        <f t="shared" si="9"/>
        <v>251874940.66249999</v>
      </c>
      <c r="R22" s="90">
        <f t="shared" si="3"/>
        <v>251874940.66249999</v>
      </c>
      <c r="S22" s="91">
        <f t="shared" si="10"/>
        <v>20149995253</v>
      </c>
      <c r="U22" s="40">
        <f>+O22</f>
        <v>45580</v>
      </c>
      <c r="V22" s="128">
        <v>0</v>
      </c>
      <c r="W22" s="74">
        <f t="shared" ref="W22:W26" si="17">+((F22*Y21)/$B$8)*$C22</f>
        <v>634934746.25338542</v>
      </c>
      <c r="X22" s="74">
        <f>+W22+V22</f>
        <v>634934746.25338542</v>
      </c>
      <c r="Y22" s="92">
        <f t="shared" si="12"/>
        <v>20149995253</v>
      </c>
      <c r="AA22" s="93">
        <f t="shared" si="13"/>
        <v>634934746.25338542</v>
      </c>
      <c r="AB22" s="94">
        <f t="shared" si="14"/>
        <v>251874940.66249999</v>
      </c>
      <c r="AC22" s="71">
        <f t="shared" si="5"/>
        <v>92</v>
      </c>
      <c r="AD22" s="71">
        <f t="shared" si="6"/>
        <v>243528339.67482612</v>
      </c>
      <c r="AE22" s="72">
        <f t="shared" si="0"/>
        <v>1.1131630273185822</v>
      </c>
    </row>
    <row r="23" spans="1:31" ht="15.75" thickBot="1" x14ac:dyDescent="0.3">
      <c r="A23" s="84">
        <v>251874941</v>
      </c>
      <c r="B23" s="64"/>
      <c r="C23" s="85">
        <v>30</v>
      </c>
      <c r="D23" s="106"/>
      <c r="E23" s="142">
        <f t="shared" si="1"/>
        <v>0.35812500000000003</v>
      </c>
      <c r="F23" s="87">
        <f t="shared" si="7"/>
        <v>0.37812500000000004</v>
      </c>
      <c r="G23" s="74">
        <f t="shared" si="15"/>
        <v>634934746.25338542</v>
      </c>
      <c r="H23" s="74">
        <f t="shared" si="8"/>
        <v>0</v>
      </c>
      <c r="I23" s="74">
        <f t="shared" si="16"/>
        <v>251874940.66249999</v>
      </c>
      <c r="J23" s="74">
        <f t="shared" ref="J23:J27" si="18">+J22+I23-Q23</f>
        <v>0</v>
      </c>
      <c r="K23" s="74"/>
      <c r="L23" s="89">
        <f t="shared" si="2"/>
        <v>45611</v>
      </c>
      <c r="M23" s="89"/>
      <c r="N23" s="89"/>
      <c r="O23" s="134">
        <v>45611</v>
      </c>
      <c r="P23" s="90">
        <v>0</v>
      </c>
      <c r="Q23" s="90">
        <f t="shared" si="9"/>
        <v>251874940.66249999</v>
      </c>
      <c r="R23" s="90">
        <f>P23+Q23</f>
        <v>251874940.66249999</v>
      </c>
      <c r="S23" s="91">
        <f t="shared" si="10"/>
        <v>20149995253</v>
      </c>
      <c r="U23" s="40">
        <f t="shared" si="4"/>
        <v>45611</v>
      </c>
      <c r="V23" s="128">
        <v>0</v>
      </c>
      <c r="W23" s="74">
        <f t="shared" si="17"/>
        <v>634934746.25338542</v>
      </c>
      <c r="X23" s="74">
        <f t="shared" si="11"/>
        <v>634934746.25338542</v>
      </c>
      <c r="Y23" s="92">
        <f t="shared" ref="Y23:Y29" si="19">+Y22-V23</f>
        <v>20149995253</v>
      </c>
      <c r="AA23" s="93">
        <f t="shared" si="13"/>
        <v>634934746.25338542</v>
      </c>
      <c r="AB23" s="94">
        <f t="shared" si="14"/>
        <v>251874940.66249999</v>
      </c>
      <c r="AC23" s="71">
        <f t="shared" si="5"/>
        <v>123</v>
      </c>
      <c r="AD23" s="71">
        <f t="shared" si="6"/>
        <v>240778661.79640779</v>
      </c>
      <c r="AE23" s="72">
        <f t="shared" si="0"/>
        <v>1.4714467356527383</v>
      </c>
    </row>
    <row r="24" spans="1:31" ht="15.75" thickBot="1" x14ac:dyDescent="0.3">
      <c r="A24" s="84">
        <v>251874941</v>
      </c>
      <c r="B24" s="64"/>
      <c r="C24" s="85">
        <v>30</v>
      </c>
      <c r="D24" s="106"/>
      <c r="E24" s="142">
        <f t="shared" si="1"/>
        <v>0.35812500000000003</v>
      </c>
      <c r="F24" s="87">
        <f t="shared" si="7"/>
        <v>0.37812500000000004</v>
      </c>
      <c r="G24" s="74">
        <f t="shared" si="15"/>
        <v>634934746.25338542</v>
      </c>
      <c r="H24" s="74">
        <f t="shared" si="8"/>
        <v>0</v>
      </c>
      <c r="I24" s="74">
        <f>+(($P$7*S23)/$B$8)*$C24</f>
        <v>251874940.66249999</v>
      </c>
      <c r="J24" s="74">
        <f>+J23+I24-Q24</f>
        <v>0</v>
      </c>
      <c r="K24" s="74"/>
      <c r="L24" s="89">
        <f t="shared" si="2"/>
        <v>45641</v>
      </c>
      <c r="M24" s="89"/>
      <c r="N24" s="89"/>
      <c r="O24" s="134">
        <v>45641</v>
      </c>
      <c r="P24" s="90">
        <v>0</v>
      </c>
      <c r="Q24" s="90">
        <f t="shared" si="9"/>
        <v>251874940.66249999</v>
      </c>
      <c r="R24" s="90">
        <f t="shared" si="3"/>
        <v>251874940.66249999</v>
      </c>
      <c r="S24" s="91">
        <f t="shared" si="10"/>
        <v>20149995253</v>
      </c>
      <c r="U24" s="40">
        <f t="shared" si="4"/>
        <v>45641</v>
      </c>
      <c r="V24" s="128">
        <v>0</v>
      </c>
      <c r="W24" s="74">
        <f t="shared" si="17"/>
        <v>634934746.25338542</v>
      </c>
      <c r="X24" s="74">
        <f>+W24+V24</f>
        <v>634934746.25338542</v>
      </c>
      <c r="Y24" s="92">
        <f t="shared" si="19"/>
        <v>20149995253</v>
      </c>
      <c r="AA24" s="93">
        <f t="shared" ref="AA24:AA29" si="20">+X24</f>
        <v>634934746.25338542</v>
      </c>
      <c r="AB24" s="94">
        <f>+R24</f>
        <v>251874940.66249999</v>
      </c>
      <c r="AC24" s="71">
        <f>+O24-$O$19</f>
        <v>153</v>
      </c>
      <c r="AD24" s="71">
        <f t="shared" si="6"/>
        <v>238147247.30803755</v>
      </c>
      <c r="AE24" s="72">
        <f t="shared" si="0"/>
        <v>1.810332861169939</v>
      </c>
    </row>
    <row r="25" spans="1:31" ht="15.6" customHeight="1" thickBot="1" x14ac:dyDescent="0.3">
      <c r="A25" s="84">
        <v>251874941</v>
      </c>
      <c r="C25" s="85">
        <v>30</v>
      </c>
      <c r="D25" s="106"/>
      <c r="E25" s="142">
        <f t="shared" si="1"/>
        <v>0.35812500000000003</v>
      </c>
      <c r="F25" s="87">
        <f t="shared" si="7"/>
        <v>0.37812500000000004</v>
      </c>
      <c r="G25" s="74">
        <f t="shared" si="15"/>
        <v>634934746.25338542</v>
      </c>
      <c r="H25" s="74">
        <f>H24+G25-W25</f>
        <v>0</v>
      </c>
      <c r="I25" s="74">
        <f>+(($P$7*S24)/$B$8)*$C25</f>
        <v>251874940.66249999</v>
      </c>
      <c r="J25" s="74">
        <f t="shared" si="18"/>
        <v>0</v>
      </c>
      <c r="K25" s="74"/>
      <c r="L25" s="89">
        <f>+U25</f>
        <v>45672</v>
      </c>
      <c r="M25" s="89"/>
      <c r="N25" s="89"/>
      <c r="O25" s="134">
        <v>45672</v>
      </c>
      <c r="P25" s="90">
        <v>0</v>
      </c>
      <c r="Q25" s="90">
        <f t="shared" si="9"/>
        <v>251874940.66249999</v>
      </c>
      <c r="R25" s="90">
        <f t="shared" si="3"/>
        <v>251874940.66249999</v>
      </c>
      <c r="S25" s="91">
        <f>+S24-P25</f>
        <v>20149995253</v>
      </c>
      <c r="U25" s="40">
        <f t="shared" si="4"/>
        <v>45672</v>
      </c>
      <c r="V25" s="128">
        <v>0</v>
      </c>
      <c r="W25" s="74">
        <f t="shared" si="17"/>
        <v>634934746.25338542</v>
      </c>
      <c r="X25" s="74">
        <f t="shared" si="11"/>
        <v>634934746.25338542</v>
      </c>
      <c r="Y25" s="92">
        <f t="shared" si="19"/>
        <v>20149995253</v>
      </c>
      <c r="AA25" s="93">
        <f t="shared" si="20"/>
        <v>634934746.25338542</v>
      </c>
      <c r="AB25" s="94">
        <f t="shared" si="14"/>
        <v>251874940.66249999</v>
      </c>
      <c r="AC25" s="71">
        <f t="shared" si="5"/>
        <v>184</v>
      </c>
      <c r="AD25" s="71">
        <f t="shared" si="6"/>
        <v>235458327.33016768</v>
      </c>
      <c r="AE25" s="72">
        <f t="shared" si="0"/>
        <v>2.1525503340448648</v>
      </c>
    </row>
    <row r="26" spans="1:31" ht="15.75" thickBot="1" x14ac:dyDescent="0.3">
      <c r="A26" s="84">
        <v>9968722304</v>
      </c>
      <c r="C26" s="85">
        <v>30</v>
      </c>
      <c r="D26" s="106"/>
      <c r="E26" s="142">
        <f t="shared" si="1"/>
        <v>0.35812500000000003</v>
      </c>
      <c r="F26" s="87">
        <f t="shared" si="7"/>
        <v>0.37812500000000004</v>
      </c>
      <c r="G26" s="74">
        <f t="shared" si="15"/>
        <v>634934746.25338542</v>
      </c>
      <c r="H26" s="74">
        <f>H25+G26-W26</f>
        <v>0</v>
      </c>
      <c r="I26" s="74">
        <f t="shared" si="16"/>
        <v>251874940.66249999</v>
      </c>
      <c r="J26" s="74">
        <f t="shared" si="18"/>
        <v>0</v>
      </c>
      <c r="K26" s="74"/>
      <c r="L26" s="89">
        <f t="shared" si="2"/>
        <v>45703</v>
      </c>
      <c r="M26" s="89"/>
      <c r="N26" s="89"/>
      <c r="O26" s="134">
        <v>45703</v>
      </c>
      <c r="P26" s="90">
        <f>MIN(A26-Q26,S25)</f>
        <v>9716847363.3374996</v>
      </c>
      <c r="Q26" s="90">
        <f>+(($P$7*S25)/$B$8)*$C26</f>
        <v>251874940.66249999</v>
      </c>
      <c r="R26" s="90">
        <f t="shared" si="3"/>
        <v>9968722304</v>
      </c>
      <c r="S26" s="91">
        <f>+S25-P26</f>
        <v>10433147889.6625</v>
      </c>
      <c r="U26" s="40">
        <f t="shared" si="4"/>
        <v>45703</v>
      </c>
      <c r="V26" s="74">
        <f>+IF(Y25&gt;0,MIN(A26-W26,Y25),0)</f>
        <v>9333787557.7466145</v>
      </c>
      <c r="W26" s="74">
        <f t="shared" si="17"/>
        <v>634934746.25338542</v>
      </c>
      <c r="X26" s="74">
        <f t="shared" si="11"/>
        <v>9968722304</v>
      </c>
      <c r="Y26" s="92">
        <f t="shared" si="19"/>
        <v>10816207695.253386</v>
      </c>
      <c r="AA26" s="93">
        <f t="shared" si="20"/>
        <v>9968722304</v>
      </c>
      <c r="AB26" s="94">
        <f t="shared" si="14"/>
        <v>9968722304</v>
      </c>
      <c r="AC26" s="71">
        <f t="shared" si="5"/>
        <v>215</v>
      </c>
      <c r="AD26" s="71">
        <f t="shared" si="6"/>
        <v>9213763913.6955967</v>
      </c>
      <c r="AE26" s="72">
        <f t="shared" si="0"/>
        <v>98.423086001334539</v>
      </c>
    </row>
    <row r="27" spans="1:31" ht="15.75" thickBot="1" x14ac:dyDescent="0.3">
      <c r="A27" s="84">
        <v>6829229629</v>
      </c>
      <c r="B27" s="64"/>
      <c r="C27" s="85">
        <v>30</v>
      </c>
      <c r="D27" s="106"/>
      <c r="E27" s="142">
        <f t="shared" si="1"/>
        <v>0.35812500000000003</v>
      </c>
      <c r="F27" s="87">
        <f t="shared" si="7"/>
        <v>0.37812500000000004</v>
      </c>
      <c r="G27" s="74">
        <f t="shared" si="15"/>
        <v>340823211.23064053</v>
      </c>
      <c r="H27" s="74">
        <f>H26+G27-W27</f>
        <v>0</v>
      </c>
      <c r="I27" s="74">
        <f t="shared" si="16"/>
        <v>130414348.62078124</v>
      </c>
      <c r="J27" s="74">
        <f t="shared" si="18"/>
        <v>0</v>
      </c>
      <c r="K27" s="74"/>
      <c r="L27" s="89">
        <f t="shared" si="2"/>
        <v>45731</v>
      </c>
      <c r="M27" s="89"/>
      <c r="N27" s="89"/>
      <c r="O27" s="134">
        <v>45731</v>
      </c>
      <c r="P27" s="90">
        <f t="shared" ref="P27" si="21">MIN(A27-Q27,S26)</f>
        <v>6698815280.3792191</v>
      </c>
      <c r="Q27" s="90">
        <f t="shared" ref="Q27" si="22">+(($P$7*S26)/$B$8)*$C27</f>
        <v>130414348.62078124</v>
      </c>
      <c r="R27" s="90">
        <f t="shared" ref="R27" si="23">P27+Q27</f>
        <v>6829229629</v>
      </c>
      <c r="S27" s="91">
        <f t="shared" ref="S27" si="24">+S26-P27</f>
        <v>3734332609.2832813</v>
      </c>
      <c r="U27" s="40">
        <f t="shared" si="4"/>
        <v>45731</v>
      </c>
      <c r="V27" s="74">
        <f>+IF(Y26&gt;0,MIN(A27-W27,Y26),0)</f>
        <v>6488406417.7693596</v>
      </c>
      <c r="W27" s="74">
        <f>+((F27*Y26)/$B$8)*$C27</f>
        <v>340823211.23064053</v>
      </c>
      <c r="X27" s="74">
        <f t="shared" si="11"/>
        <v>6829229629</v>
      </c>
      <c r="Y27" s="92">
        <f t="shared" si="19"/>
        <v>4327801277.484026</v>
      </c>
      <c r="AA27" s="93">
        <f t="shared" si="20"/>
        <v>6829229629</v>
      </c>
      <c r="AB27" s="94">
        <f>+R27</f>
        <v>6829229629</v>
      </c>
      <c r="AC27" s="71">
        <f>+O27-$O$19</f>
        <v>243</v>
      </c>
      <c r="AD27" s="71">
        <f t="shared" si="6"/>
        <v>6247626082.9927483</v>
      </c>
      <c r="AE27" s="72">
        <f t="shared" si="0"/>
        <v>75.429762620349379</v>
      </c>
    </row>
    <row r="28" spans="1:31" ht="15.75" thickBot="1" x14ac:dyDescent="0.3">
      <c r="A28" s="84">
        <v>3814321912</v>
      </c>
      <c r="B28" s="64"/>
      <c r="C28" s="85">
        <v>30</v>
      </c>
      <c r="D28" s="106"/>
      <c r="E28" s="142">
        <f t="shared" si="1"/>
        <v>0.35812500000000003</v>
      </c>
      <c r="F28" s="87">
        <f t="shared" si="7"/>
        <v>0.37812500000000004</v>
      </c>
      <c r="G28" s="74">
        <f t="shared" ref="G28" si="25">+((F28*Y27)/$B$8)*$C28</f>
        <v>136370821.50405395</v>
      </c>
      <c r="H28" s="74">
        <f>H27+G28-W28</f>
        <v>0</v>
      </c>
      <c r="I28" s="74">
        <f t="shared" ref="I28" si="26">+(($P$7*S27)/$B$8)*$C28</f>
        <v>46679157.616041012</v>
      </c>
      <c r="J28" s="74">
        <f t="shared" ref="J28" si="27">+J27+I28-Q28</f>
        <v>0</v>
      </c>
      <c r="K28" s="74"/>
      <c r="L28" s="89">
        <f t="shared" ref="L28:L29" si="28">+U28</f>
        <v>45762</v>
      </c>
      <c r="M28" s="89"/>
      <c r="N28" s="89"/>
      <c r="O28" s="134">
        <v>45762</v>
      </c>
      <c r="P28" s="90">
        <f t="shared" ref="P28:P29" si="29">MIN(A28-Q28,S27)</f>
        <v>3734332609.2832813</v>
      </c>
      <c r="Q28" s="90">
        <f t="shared" ref="Q28:Q29" si="30">+(($P$7*S27)/$B$8)*$C28</f>
        <v>46679157.616041012</v>
      </c>
      <c r="R28" s="90">
        <f t="shared" ref="R28:R29" si="31">P28+Q28</f>
        <v>3781011766.8993225</v>
      </c>
      <c r="S28" s="91">
        <f t="shared" ref="S28" si="32">+S27-P28</f>
        <v>0</v>
      </c>
      <c r="U28" s="40">
        <f t="shared" ref="U28:U29" si="33">+O28</f>
        <v>45762</v>
      </c>
      <c r="V28" s="74">
        <f>+IF(Y27&gt;0,MIN(A28-W28,Y27),0)</f>
        <v>3677951090.4959459</v>
      </c>
      <c r="W28" s="74">
        <f>+((F28*Y27)/$B$8)*$C28</f>
        <v>136370821.50405395</v>
      </c>
      <c r="X28" s="74">
        <f t="shared" ref="X28:X29" si="34">+W28+V28</f>
        <v>3814321912</v>
      </c>
      <c r="Y28" s="92">
        <f t="shared" si="19"/>
        <v>649850186.98808002</v>
      </c>
      <c r="AA28" s="93">
        <f t="shared" si="20"/>
        <v>3814321912</v>
      </c>
      <c r="AB28" s="94">
        <f>+R28</f>
        <v>3781011766.8993225</v>
      </c>
      <c r="AC28" s="71">
        <f>+O28-$O$19</f>
        <v>274</v>
      </c>
      <c r="AD28" s="71">
        <f t="shared" si="6"/>
        <v>3419950585.0849066</v>
      </c>
      <c r="AE28" s="72">
        <f t="shared" ref="AE28:AE29" si="35">+AD28/$AD$36*AC28</f>
        <v>46.557733689221912</v>
      </c>
    </row>
    <row r="29" spans="1:31" ht="15.75" thickBot="1" x14ac:dyDescent="0.3">
      <c r="A29" s="84">
        <v>3102837702</v>
      </c>
      <c r="B29" s="64"/>
      <c r="C29" s="85">
        <v>30</v>
      </c>
      <c r="D29" s="106"/>
      <c r="E29" s="142">
        <f t="shared" si="1"/>
        <v>0.35812500000000003</v>
      </c>
      <c r="F29" s="87">
        <f t="shared" si="7"/>
        <v>0.37812500000000004</v>
      </c>
      <c r="G29" s="74">
        <f t="shared" ref="G29" si="36">+((F29*Y28)/$B$8)*$C29</f>
        <v>20477050.162905648</v>
      </c>
      <c r="H29" s="74">
        <f>H28+G29-W29</f>
        <v>0</v>
      </c>
      <c r="I29" s="74">
        <f t="shared" ref="I29" si="37">+(($P$7*S28)/$B$8)*$C29</f>
        <v>0</v>
      </c>
      <c r="J29" s="74">
        <f t="shared" ref="J29" si="38">+J28+I29-Q29</f>
        <v>0</v>
      </c>
      <c r="K29" s="74"/>
      <c r="L29" s="89">
        <f t="shared" si="28"/>
        <v>45792</v>
      </c>
      <c r="M29" s="89"/>
      <c r="N29" s="89"/>
      <c r="O29" s="134">
        <v>45792</v>
      </c>
      <c r="P29" s="90">
        <f t="shared" si="29"/>
        <v>0</v>
      </c>
      <c r="Q29" s="90">
        <f t="shared" si="30"/>
        <v>0</v>
      </c>
      <c r="R29" s="90">
        <f t="shared" si="31"/>
        <v>0</v>
      </c>
      <c r="S29" s="91"/>
      <c r="U29" s="40">
        <f t="shared" si="33"/>
        <v>45792</v>
      </c>
      <c r="V29" s="74">
        <f>+IF(Y28&gt;0,MIN(A29-W29,Y28),0)</f>
        <v>649850186.98808002</v>
      </c>
      <c r="W29" s="74">
        <f>+((F29*Y28)/$B$8)*$C29</f>
        <v>20477050.162905648</v>
      </c>
      <c r="X29" s="74">
        <f t="shared" si="34"/>
        <v>670327237.15098572</v>
      </c>
      <c r="Y29" s="92">
        <f t="shared" si="19"/>
        <v>0</v>
      </c>
      <c r="AA29" s="93">
        <f t="shared" si="20"/>
        <v>670327237.15098572</v>
      </c>
      <c r="AB29" s="94">
        <f>+R29</f>
        <v>0</v>
      </c>
      <c r="AC29" s="71">
        <f>+O29-$O$19</f>
        <v>304</v>
      </c>
      <c r="AD29" s="71">
        <f t="shared" si="6"/>
        <v>0</v>
      </c>
      <c r="AE29" s="72">
        <f t="shared" si="35"/>
        <v>0</v>
      </c>
    </row>
    <row r="30" spans="1:31" ht="15.75" thickBot="1" x14ac:dyDescent="0.3">
      <c r="A30" s="150"/>
      <c r="B30" s="64"/>
      <c r="C30" s="85"/>
      <c r="D30" s="106"/>
      <c r="E30" s="142"/>
      <c r="F30" s="87"/>
      <c r="G30" s="74"/>
      <c r="H30" s="74"/>
      <c r="I30" s="74"/>
      <c r="J30" s="74"/>
      <c r="K30" s="74"/>
      <c r="L30" s="89"/>
      <c r="M30" s="89"/>
      <c r="N30" s="89"/>
      <c r="O30" s="134"/>
      <c r="P30" s="90"/>
      <c r="Q30" s="90"/>
      <c r="R30" s="90"/>
      <c r="S30" s="91"/>
      <c r="U30" s="40"/>
      <c r="V30" s="74"/>
      <c r="W30" s="74"/>
      <c r="X30" s="74"/>
      <c r="Y30" s="92"/>
      <c r="AA30" s="93"/>
      <c r="AB30" s="94"/>
      <c r="AC30" s="71"/>
      <c r="AD30" s="71"/>
      <c r="AE30" s="72"/>
    </row>
    <row r="31" spans="1:31" ht="15.75" hidden="1" thickBot="1" x14ac:dyDescent="0.3">
      <c r="A31" s="84"/>
      <c r="B31" s="64"/>
      <c r="C31" s="85"/>
      <c r="D31" s="106"/>
      <c r="E31" s="142"/>
      <c r="F31" s="87"/>
      <c r="G31" s="74"/>
      <c r="H31" s="74"/>
      <c r="I31" s="74"/>
      <c r="J31" s="74"/>
      <c r="K31" s="74"/>
      <c r="L31" s="89"/>
      <c r="M31" s="89"/>
      <c r="N31" s="89"/>
      <c r="O31" s="134"/>
      <c r="P31" s="90"/>
      <c r="Q31" s="90"/>
      <c r="R31" s="90"/>
      <c r="S31" s="91"/>
      <c r="U31" s="40"/>
      <c r="V31" s="74"/>
      <c r="W31" s="74"/>
      <c r="X31" s="74"/>
      <c r="Y31" s="92"/>
      <c r="AA31" s="93"/>
      <c r="AB31" s="94"/>
      <c r="AC31" s="71"/>
      <c r="AD31" s="71"/>
      <c r="AE31" s="72"/>
    </row>
    <row r="32" spans="1:31" ht="15.75" hidden="1" thickBot="1" x14ac:dyDescent="0.3">
      <c r="A32" s="84"/>
      <c r="B32" s="64"/>
      <c r="C32" s="85"/>
      <c r="D32" s="106"/>
      <c r="E32" s="142"/>
      <c r="F32" s="87"/>
      <c r="G32" s="74"/>
      <c r="H32" s="74"/>
      <c r="I32" s="74"/>
      <c r="J32" s="74"/>
      <c r="K32" s="74"/>
      <c r="L32" s="89"/>
      <c r="M32" s="89"/>
      <c r="N32" s="89"/>
      <c r="O32" s="134"/>
      <c r="P32" s="90"/>
      <c r="Q32" s="90"/>
      <c r="R32" s="90"/>
      <c r="S32" s="91"/>
      <c r="U32" s="40"/>
      <c r="V32" s="74"/>
      <c r="W32" s="74"/>
      <c r="X32" s="74"/>
      <c r="Y32" s="92"/>
      <c r="AA32" s="93"/>
      <c r="AB32" s="94"/>
      <c r="AC32" s="71"/>
      <c r="AD32" s="71"/>
      <c r="AE32" s="72"/>
    </row>
    <row r="33" spans="1:31" ht="15.75" hidden="1" thickBot="1" x14ac:dyDescent="0.3">
      <c r="A33" s="84"/>
      <c r="B33" s="64"/>
      <c r="C33" s="85"/>
      <c r="D33" s="106"/>
      <c r="E33" s="142"/>
      <c r="F33" s="87"/>
      <c r="G33" s="74"/>
      <c r="H33" s="74"/>
      <c r="I33" s="74"/>
      <c r="J33" s="74"/>
      <c r="K33" s="74"/>
      <c r="L33" s="89"/>
      <c r="M33" s="89"/>
      <c r="N33" s="89"/>
      <c r="O33" s="134"/>
      <c r="P33" s="90"/>
      <c r="Q33" s="90"/>
      <c r="R33" s="90"/>
      <c r="S33" s="91"/>
      <c r="U33" s="40"/>
      <c r="V33" s="74"/>
      <c r="W33" s="74"/>
      <c r="X33" s="74"/>
      <c r="Y33" s="92"/>
      <c r="AA33" s="93"/>
      <c r="AB33" s="94"/>
      <c r="AC33" s="71"/>
      <c r="AD33" s="71"/>
      <c r="AE33" s="72"/>
    </row>
    <row r="34" spans="1:31" ht="15.75" hidden="1" thickBot="1" x14ac:dyDescent="0.3">
      <c r="A34" s="84"/>
      <c r="B34" s="64"/>
      <c r="C34" s="85"/>
      <c r="D34" s="106"/>
      <c r="E34" s="142"/>
      <c r="F34" s="87"/>
      <c r="G34" s="74"/>
      <c r="H34" s="74"/>
      <c r="I34" s="74"/>
      <c r="J34" s="74"/>
      <c r="K34" s="74"/>
      <c r="L34" s="89"/>
      <c r="M34" s="89"/>
      <c r="N34" s="89"/>
      <c r="O34" s="134"/>
      <c r="P34" s="90"/>
      <c r="Q34" s="90"/>
      <c r="R34" s="90"/>
      <c r="S34" s="91"/>
      <c r="U34" s="40"/>
      <c r="V34" s="74"/>
      <c r="W34" s="74"/>
      <c r="X34" s="74"/>
      <c r="Y34" s="92"/>
      <c r="AA34" s="93"/>
      <c r="AB34" s="94"/>
      <c r="AC34" s="71"/>
      <c r="AD34" s="71"/>
      <c r="AE34" s="72"/>
    </row>
    <row r="35" spans="1:31" ht="15.75" hidden="1" thickBot="1" x14ac:dyDescent="0.3">
      <c r="A35" s="84"/>
      <c r="B35" s="64"/>
      <c r="C35" s="85"/>
      <c r="D35" s="85"/>
      <c r="E35" s="142">
        <f t="shared" si="1"/>
        <v>0.35812500000000003</v>
      </c>
      <c r="F35" s="87">
        <f t="shared" ref="F35" si="39">+MAX($P$7,MIN($P$8,$E35+$P$9/10000))</f>
        <v>0.37812500000000004</v>
      </c>
      <c r="G35" s="74">
        <f>+((F35*S34)/$B$8)*$C35</f>
        <v>0</v>
      </c>
      <c r="H35" s="74"/>
      <c r="I35" s="74"/>
      <c r="J35" s="74"/>
      <c r="K35" s="74"/>
      <c r="O35" s="134"/>
      <c r="P35" s="90"/>
      <c r="Q35" s="90"/>
      <c r="R35" s="90"/>
      <c r="S35" s="91"/>
      <c r="U35" s="40"/>
      <c r="V35" s="74"/>
      <c r="W35" s="74"/>
      <c r="X35" s="74"/>
      <c r="Y35" s="92"/>
    </row>
    <row r="36" spans="1:31" ht="15.75" thickBot="1" x14ac:dyDescent="0.3">
      <c r="A36" s="84"/>
      <c r="B36" s="64"/>
      <c r="C36" s="85"/>
      <c r="D36" s="85"/>
      <c r="E36" s="142"/>
      <c r="F36" s="87"/>
      <c r="G36" s="74"/>
      <c r="H36" s="74"/>
      <c r="I36" s="74"/>
      <c r="J36" s="74"/>
      <c r="K36" s="74"/>
      <c r="O36" s="95" t="s">
        <v>29</v>
      </c>
      <c r="P36" s="96">
        <f>SUM(P20:P28)</f>
        <v>20149995253</v>
      </c>
      <c r="Q36" s="96">
        <f>+SUM(Q20:Q28)</f>
        <v>1730322306.9889054</v>
      </c>
      <c r="R36" s="96">
        <f>+SUM(R20:R28)</f>
        <v>21880317559.988907</v>
      </c>
      <c r="S36" s="97"/>
      <c r="U36" s="98" t="s">
        <v>29</v>
      </c>
      <c r="V36" s="96">
        <f>+SUM(V20:V29)</f>
        <v>20149995253</v>
      </c>
      <c r="W36" s="96">
        <f>+SUM(W20:W29)</f>
        <v>4413102018.1268101</v>
      </c>
      <c r="X36" s="96">
        <f>+SUM(X20:X29)</f>
        <v>24563097271.126808</v>
      </c>
      <c r="Y36" s="97"/>
      <c r="AA36" s="99"/>
      <c r="AB36" s="149">
        <f>+XIRR(AB19:AB28,O19:O28)</f>
        <v>0.14095670580863956</v>
      </c>
      <c r="AC36" s="100"/>
      <c r="AD36" s="101">
        <f>SUM(AD19:AD28)</f>
        <v>20126977540.794575</v>
      </c>
      <c r="AE36" s="102"/>
    </row>
    <row r="37" spans="1:31" x14ac:dyDescent="0.25">
      <c r="A37" s="84"/>
      <c r="B37" s="64"/>
      <c r="C37" s="104"/>
      <c r="D37" s="104"/>
      <c r="E37" s="86"/>
      <c r="F37" s="87"/>
      <c r="G37" s="74"/>
      <c r="H37" s="74"/>
      <c r="I37" s="74"/>
      <c r="J37" s="74"/>
      <c r="K37" s="74"/>
      <c r="U37" s="64"/>
      <c r="V37" s="74"/>
      <c r="W37" s="74"/>
      <c r="X37" s="74"/>
      <c r="Y37" s="88"/>
      <c r="AA37" s="103"/>
      <c r="AD37" s="88"/>
    </row>
    <row r="38" spans="1:31" ht="15" customHeight="1" x14ac:dyDescent="0.25">
      <c r="A38" s="105">
        <f>+SUM(A20:A35)</f>
        <v>25016465409</v>
      </c>
      <c r="G38" s="105">
        <f>+SUM(G20:G37)</f>
        <v>4413102018.1268101</v>
      </c>
    </row>
    <row r="39" spans="1:31" x14ac:dyDescent="0.25">
      <c r="O39" s="151" t="s">
        <v>40</v>
      </c>
      <c r="P39" s="151"/>
      <c r="Q39" s="151"/>
      <c r="R39" s="151"/>
      <c r="S39" s="151"/>
      <c r="T39" s="151"/>
      <c r="U39" s="151"/>
      <c r="V39" s="151"/>
      <c r="W39" s="151"/>
      <c r="X39" s="151"/>
      <c r="Y39" s="151"/>
    </row>
    <row r="40" spans="1:31" x14ac:dyDescent="0.25"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</row>
    <row r="41" spans="1:31" x14ac:dyDescent="0.25"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</row>
    <row r="47" spans="1:31" ht="15.75" x14ac:dyDescent="0.3">
      <c r="C47" s="140"/>
    </row>
    <row r="48" spans="1:31" ht="15.75" x14ac:dyDescent="0.3">
      <c r="B48" s="139">
        <v>44837</v>
      </c>
      <c r="C48" s="140">
        <v>69.8125</v>
      </c>
      <c r="D48" s="138"/>
    </row>
    <row r="49" spans="2:4" ht="15.75" x14ac:dyDescent="0.3">
      <c r="B49" s="139">
        <v>44838</v>
      </c>
      <c r="C49" s="140">
        <v>68.75</v>
      </c>
      <c r="D49" s="138"/>
    </row>
    <row r="50" spans="2:4" ht="15.75" x14ac:dyDescent="0.3">
      <c r="B50" s="139">
        <v>44839</v>
      </c>
      <c r="C50" s="140">
        <v>69.5</v>
      </c>
      <c r="D50" s="138"/>
    </row>
    <row r="51" spans="2:4" ht="15.75" x14ac:dyDescent="0.3">
      <c r="B51" s="139">
        <v>44840</v>
      </c>
      <c r="C51" s="140">
        <v>68.625</v>
      </c>
      <c r="D51" s="138"/>
    </row>
    <row r="52" spans="2:4" ht="15.75" x14ac:dyDescent="0.3">
      <c r="B52" s="139">
        <v>44845</v>
      </c>
      <c r="C52" s="140">
        <v>69.8125</v>
      </c>
      <c r="D52" s="138"/>
    </row>
    <row r="53" spans="2:4" ht="15.75" x14ac:dyDescent="0.3">
      <c r="B53" s="139">
        <v>44846</v>
      </c>
      <c r="C53" s="140">
        <v>69.5625</v>
      </c>
      <c r="D53" s="138"/>
    </row>
    <row r="54" spans="2:4" ht="15.75" x14ac:dyDescent="0.3">
      <c r="B54" s="139">
        <v>44847</v>
      </c>
      <c r="C54" s="140">
        <v>69.375</v>
      </c>
      <c r="D54" s="138"/>
    </row>
    <row r="55" spans="2:4" ht="15.75" x14ac:dyDescent="0.3">
      <c r="B55" s="139">
        <v>44848</v>
      </c>
      <c r="C55" s="140">
        <v>68.75</v>
      </c>
      <c r="D55" s="138"/>
    </row>
    <row r="56" spans="2:4" ht="15.75" x14ac:dyDescent="0.3">
      <c r="B56" s="139">
        <v>44851</v>
      </c>
      <c r="C56" s="140">
        <v>69.4375</v>
      </c>
      <c r="D56" s="138"/>
    </row>
    <row r="57" spans="2:4" ht="15.75" x14ac:dyDescent="0.3">
      <c r="B57" s="139">
        <v>44852</v>
      </c>
      <c r="C57" s="140">
        <v>68.25</v>
      </c>
      <c r="D57" s="138"/>
    </row>
    <row r="58" spans="2:4" ht="15.75" x14ac:dyDescent="0.3">
      <c r="B58" s="139">
        <v>44853</v>
      </c>
      <c r="C58" s="140">
        <v>68.6875</v>
      </c>
      <c r="D58" s="138"/>
    </row>
    <row r="59" spans="2:4" ht="15.75" x14ac:dyDescent="0.3">
      <c r="B59" s="139">
        <v>44854</v>
      </c>
      <c r="C59" s="140">
        <v>68.625</v>
      </c>
      <c r="D59" s="138"/>
    </row>
    <row r="60" spans="2:4" ht="15.75" x14ac:dyDescent="0.3">
      <c r="B60" s="139">
        <v>44855</v>
      </c>
      <c r="C60" s="140">
        <v>69.125</v>
      </c>
      <c r="D60" s="138"/>
    </row>
    <row r="61" spans="2:4" ht="15.75" x14ac:dyDescent="0.3">
      <c r="B61" s="139">
        <v>44858</v>
      </c>
      <c r="C61" s="140">
        <v>69.125</v>
      </c>
      <c r="D61" s="138"/>
    </row>
    <row r="62" spans="2:4" ht="15.75" x14ac:dyDescent="0.3">
      <c r="B62" s="139">
        <v>44859</v>
      </c>
      <c r="C62" s="140">
        <v>68.25</v>
      </c>
      <c r="D62" s="138"/>
    </row>
    <row r="63" spans="2:4" ht="15.75" x14ac:dyDescent="0.3">
      <c r="B63" s="139">
        <v>44860</v>
      </c>
      <c r="C63" s="140">
        <v>69.25</v>
      </c>
      <c r="D63" s="138"/>
    </row>
    <row r="64" spans="2:4" ht="15.75" x14ac:dyDescent="0.3">
      <c r="B64" s="139">
        <v>44861</v>
      </c>
      <c r="C64" s="140">
        <v>68.9375</v>
      </c>
      <c r="D64" s="138"/>
    </row>
    <row r="65" spans="2:4" ht="15" customHeight="1" x14ac:dyDescent="0.3">
      <c r="B65" s="139">
        <v>44862</v>
      </c>
      <c r="C65" s="140">
        <v>68.8125</v>
      </c>
      <c r="D65" s="145"/>
    </row>
    <row r="66" spans="2:4" ht="15" customHeight="1" x14ac:dyDescent="0.3">
      <c r="B66" s="139">
        <v>44865</v>
      </c>
      <c r="C66" s="140">
        <v>69.5</v>
      </c>
      <c r="D66" s="145"/>
    </row>
    <row r="67" spans="2:4" ht="15.75" x14ac:dyDescent="0.3">
      <c r="B67" s="139"/>
      <c r="C67" s="140"/>
      <c r="D67" s="145"/>
    </row>
    <row r="68" spans="2:4" ht="15.75" x14ac:dyDescent="0.3">
      <c r="B68" s="139"/>
      <c r="C68" s="140"/>
      <c r="D68" s="145"/>
    </row>
    <row r="69" spans="2:4" ht="15.75" x14ac:dyDescent="0.3">
      <c r="B69" s="139"/>
      <c r="C69" s="140"/>
      <c r="D69" s="145"/>
    </row>
    <row r="70" spans="2:4" ht="15.75" x14ac:dyDescent="0.3">
      <c r="B70" s="139"/>
      <c r="C70" s="140"/>
      <c r="D70" s="145"/>
    </row>
    <row r="71" spans="2:4" ht="15.75" x14ac:dyDescent="0.3">
      <c r="B71" s="139"/>
      <c r="C71" s="140"/>
      <c r="D71" s="145"/>
    </row>
    <row r="72" spans="2:4" ht="15.75" x14ac:dyDescent="0.3">
      <c r="C72" s="140"/>
      <c r="D72" s="146"/>
    </row>
    <row r="73" spans="2:4" ht="16.5" thickBot="1" x14ac:dyDescent="0.35">
      <c r="C73" s="140"/>
    </row>
    <row r="74" spans="2:4" ht="16.5" thickBot="1" x14ac:dyDescent="0.35">
      <c r="C74" s="140"/>
      <c r="D74" s="141">
        <f>+ROUND((AVERAGE(C48:C66)/100),6)</f>
        <v>0.69062500000000004</v>
      </c>
    </row>
  </sheetData>
  <sheetProtection algorithmName="SHA-512" hashValue="jBSDPAIyuEih04tS7d+sADLO4YlrSnmiHWivNm1m8K1ntlIuWu6AoQnuGqjL6z+XrUvAtvGWG4tKd9wEanh0Dg==" saltValue="oUKH2vMv/H9bbpKKIXuMiQ==" spinCount="100000" sheet="1" selectLockedCells="1"/>
  <mergeCells count="7">
    <mergeCell ref="O39:Y41"/>
    <mergeCell ref="I18:I19"/>
    <mergeCell ref="A17:A18"/>
    <mergeCell ref="O17:S17"/>
    <mergeCell ref="U17:Y17"/>
    <mergeCell ref="F18:F19"/>
    <mergeCell ref="G18:G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mvisentin@allaria.local</cp:lastModifiedBy>
  <dcterms:created xsi:type="dcterms:W3CDTF">2018-11-09T18:31:28Z</dcterms:created>
  <dcterms:modified xsi:type="dcterms:W3CDTF">2024-07-11T13:16:57Z</dcterms:modified>
</cp:coreProperties>
</file>