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MercadoLibre\FF Mercado Crédito XXII\"/>
    </mc:Choice>
  </mc:AlternateContent>
  <xr:revisionPtr revIDLastSave="0" documentId="13_ncr:1_{FBF3A138-89E6-46D3-8818-3DB7840333CF}" xr6:coauthVersionLast="47" xr6:coauthVersionMax="47" xr10:uidLastSave="{00000000-0000-0000-0000-000000000000}"/>
  <bookViews>
    <workbookView xWindow="2868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V7" i="1"/>
  <c r="P11" i="1"/>
  <c r="A29" i="1"/>
  <c r="E13" i="1"/>
  <c r="A28" i="1"/>
  <c r="A40" i="1"/>
  <c r="Y19" i="1"/>
  <c r="Y20" i="1" s="1"/>
  <c r="Y21" i="1" s="1"/>
  <c r="E21" i="1"/>
  <c r="F21" i="1" s="1"/>
  <c r="E20" i="1"/>
  <c r="F20" i="1" s="1"/>
  <c r="U29" i="1"/>
  <c r="L29" i="1" s="1"/>
  <c r="U30" i="1"/>
  <c r="D76" i="1"/>
  <c r="S19" i="1"/>
  <c r="I20" i="1" s="1"/>
  <c r="U20" i="1"/>
  <c r="L20" i="1" s="1"/>
  <c r="O19" i="1"/>
  <c r="AC26" i="1" s="1"/>
  <c r="L30" i="1"/>
  <c r="E22" i="1"/>
  <c r="F22" i="1" s="1"/>
  <c r="E23" i="1"/>
  <c r="F23" i="1" s="1"/>
  <c r="G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G38" i="1" s="1"/>
  <c r="U32" i="1"/>
  <c r="L32" i="1" s="1"/>
  <c r="U33" i="1"/>
  <c r="L33" i="1" s="1"/>
  <c r="U34" i="1"/>
  <c r="L34" i="1" s="1"/>
  <c r="U35" i="1"/>
  <c r="L35" i="1" s="1"/>
  <c r="U36" i="1"/>
  <c r="L36" i="1" s="1"/>
  <c r="U21" i="1"/>
  <c r="L21" i="1" s="1"/>
  <c r="U22" i="1"/>
  <c r="L22" i="1" s="1"/>
  <c r="U23" i="1"/>
  <c r="L23" i="1" s="1"/>
  <c r="U24" i="1"/>
  <c r="L24" i="1" s="1"/>
  <c r="U25" i="1"/>
  <c r="L25" i="1" s="1"/>
  <c r="U26" i="1"/>
  <c r="L26" i="1" s="1"/>
  <c r="U27" i="1"/>
  <c r="L27" i="1"/>
  <c r="U28" i="1"/>
  <c r="L28" i="1" s="1"/>
  <c r="U31" i="1"/>
  <c r="L31" i="1" s="1"/>
  <c r="U19" i="1"/>
  <c r="AC36" i="1"/>
  <c r="AC27" i="1"/>
  <c r="S20" i="1" l="1"/>
  <c r="Q21" i="1" s="1"/>
  <c r="R21" i="1" s="1"/>
  <c r="AB21" i="1" s="1"/>
  <c r="AC32" i="1"/>
  <c r="AC30" i="1"/>
  <c r="G20" i="1"/>
  <c r="AC35" i="1"/>
  <c r="AC29" i="1"/>
  <c r="AC20" i="1"/>
  <c r="W20" i="1"/>
  <c r="X20" i="1" s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G22" i="1"/>
  <c r="S21" i="1"/>
  <c r="S22" i="1" s="1"/>
  <c r="Q23" i="1" s="1"/>
  <c r="R23" i="1" s="1"/>
  <c r="G21" i="1"/>
  <c r="W22" i="1"/>
  <c r="X22" i="1" s="1"/>
  <c r="AA22" i="1" s="1"/>
  <c r="Q20" i="1"/>
  <c r="AB19" i="1"/>
  <c r="W21" i="1"/>
  <c r="I21" i="1" l="1"/>
  <c r="W23" i="1"/>
  <c r="X23" i="1" s="1"/>
  <c r="AA23" i="1" s="1"/>
  <c r="Q22" i="1"/>
  <c r="R22" i="1" s="1"/>
  <c r="AB22" i="1" s="1"/>
  <c r="AA20" i="1"/>
  <c r="H20" i="1"/>
  <c r="G24" i="1"/>
  <c r="I22" i="1"/>
  <c r="W24" i="1"/>
  <c r="X24" i="1" s="1"/>
  <c r="AA24" i="1" s="1"/>
  <c r="H21" i="1"/>
  <c r="H22" i="1" s="1"/>
  <c r="I23" i="1"/>
  <c r="S23" i="1"/>
  <c r="R20" i="1"/>
  <c r="J20" i="1"/>
  <c r="J21" i="1" s="1"/>
  <c r="J22" i="1" s="1"/>
  <c r="AB23" i="1"/>
  <c r="X21" i="1"/>
  <c r="Y25" i="1"/>
  <c r="G25" i="1"/>
  <c r="H23" i="1" l="1"/>
  <c r="H24" i="1" s="1"/>
  <c r="H25" i="1" s="1"/>
  <c r="J23" i="1"/>
  <c r="I24" i="1"/>
  <c r="Q24" i="1"/>
  <c r="S24" i="1"/>
  <c r="G26" i="1"/>
  <c r="W26" i="1"/>
  <c r="V26" i="1" s="1"/>
  <c r="AB20" i="1"/>
  <c r="AA21" i="1"/>
  <c r="R24" i="1" l="1"/>
  <c r="AB24" i="1"/>
  <c r="J24" i="1"/>
  <c r="Q25" i="1"/>
  <c r="R25" i="1" s="1"/>
  <c r="AB25" i="1" s="1"/>
  <c r="S25" i="1"/>
  <c r="I25" i="1"/>
  <c r="X26" i="1"/>
  <c r="Y26" i="1"/>
  <c r="G27" i="1" s="1"/>
  <c r="H26" i="1"/>
  <c r="J25" i="1" l="1"/>
  <c r="I26" i="1"/>
  <c r="Q26" i="1"/>
  <c r="P26" i="1" s="1"/>
  <c r="R26" i="1" s="1"/>
  <c r="W27" i="1"/>
  <c r="V27" i="1" s="1"/>
  <c r="AA26" i="1"/>
  <c r="J26" i="1" l="1"/>
  <c r="AB26" i="1"/>
  <c r="S26" i="1"/>
  <c r="H27" i="1"/>
  <c r="X27" i="1"/>
  <c r="Y27" i="1"/>
  <c r="I27" i="1" l="1"/>
  <c r="Q27" i="1"/>
  <c r="G28" i="1"/>
  <c r="W28" i="1"/>
  <c r="V28" i="1" s="1"/>
  <c r="AA27" i="1"/>
  <c r="P27" i="1" l="1"/>
  <c r="J27" i="1"/>
  <c r="S27" i="1"/>
  <c r="R27" i="1"/>
  <c r="H28" i="1"/>
  <c r="AB27" i="1" l="1"/>
  <c r="I28" i="1"/>
  <c r="Q28" i="1"/>
  <c r="P28" i="1" s="1"/>
  <c r="Y28" i="1"/>
  <c r="X28" i="1"/>
  <c r="R28" i="1" l="1"/>
  <c r="S28" i="1"/>
  <c r="I29" i="1" s="1"/>
  <c r="J28" i="1"/>
  <c r="Q29" i="1"/>
  <c r="G29" i="1"/>
  <c r="W29" i="1"/>
  <c r="V29" i="1" s="1"/>
  <c r="Y29" i="1" s="1"/>
  <c r="AA28" i="1"/>
  <c r="AA19" i="1" l="1"/>
  <c r="AB28" i="1"/>
  <c r="J29" i="1"/>
  <c r="W30" i="1"/>
  <c r="V30" i="1" s="1"/>
  <c r="Y30" i="1" s="1"/>
  <c r="G30" i="1"/>
  <c r="X29" i="1"/>
  <c r="B6" i="1" s="1"/>
  <c r="H29" i="1"/>
  <c r="P29" i="1"/>
  <c r="H30" i="1" l="1"/>
  <c r="G31" i="1"/>
  <c r="W31" i="1"/>
  <c r="R29" i="1"/>
  <c r="S29" i="1"/>
  <c r="AA29" i="1"/>
  <c r="W12" i="1" s="1"/>
  <c r="W13" i="1" s="1"/>
  <c r="W14" i="1" s="1"/>
  <c r="X30" i="1"/>
  <c r="AA30" i="1" s="1"/>
  <c r="V31" i="1" l="1"/>
  <c r="Y31" i="1" s="1"/>
  <c r="W32" i="1" s="1"/>
  <c r="V32" i="1" s="1"/>
  <c r="Y32" i="1" s="1"/>
  <c r="H31" i="1"/>
  <c r="Q30" i="1"/>
  <c r="I30" i="1"/>
  <c r="AB29" i="1"/>
  <c r="P30" i="1" l="1"/>
  <c r="G32" i="1"/>
  <c r="X31" i="1"/>
  <c r="AA31" i="1" s="1"/>
  <c r="H32" i="1"/>
  <c r="J30" i="1"/>
  <c r="W33" i="1"/>
  <c r="V33" i="1" s="1"/>
  <c r="Y33" i="1" s="1"/>
  <c r="G33" i="1"/>
  <c r="X32" i="1"/>
  <c r="AA32" i="1" s="1"/>
  <c r="S30" i="1" l="1"/>
  <c r="R30" i="1"/>
  <c r="AB30" i="1" s="1"/>
  <c r="H33" i="1"/>
  <c r="X33" i="1"/>
  <c r="AA33" i="1" s="1"/>
  <c r="W34" i="1"/>
  <c r="V34" i="1" s="1"/>
  <c r="Y34" i="1" s="1"/>
  <c r="G34" i="1"/>
  <c r="Q31" i="1" l="1"/>
  <c r="I31" i="1"/>
  <c r="H34" i="1"/>
  <c r="X34" i="1"/>
  <c r="AA34" i="1" s="1"/>
  <c r="W35" i="1"/>
  <c r="G35" i="1"/>
  <c r="V35" i="1"/>
  <c r="Y35" i="1" s="1"/>
  <c r="P31" i="1" l="1"/>
  <c r="J31" i="1"/>
  <c r="H35" i="1"/>
  <c r="W36" i="1"/>
  <c r="V36" i="1" s="1"/>
  <c r="V38" i="1" s="1"/>
  <c r="G36" i="1"/>
  <c r="X35" i="1"/>
  <c r="AA35" i="1" s="1"/>
  <c r="R31" i="1" l="1"/>
  <c r="AB31" i="1" s="1"/>
  <c r="S31" i="1"/>
  <c r="H36" i="1"/>
  <c r="Y36" i="1"/>
  <c r="G37" i="1" s="1"/>
  <c r="G40" i="1" s="1"/>
  <c r="X36" i="1"/>
  <c r="W38" i="1"/>
  <c r="Q32" i="1" l="1"/>
  <c r="P32" i="1" s="1"/>
  <c r="R32" i="1" s="1"/>
  <c r="AB32" i="1" s="1"/>
  <c r="I32" i="1"/>
  <c r="S32" i="1"/>
  <c r="AA36" i="1"/>
  <c r="X38" i="1"/>
  <c r="I33" i="1" l="1"/>
  <c r="Q33" i="1"/>
  <c r="P33" i="1" s="1"/>
  <c r="R33" i="1" s="1"/>
  <c r="AB33" i="1" s="1"/>
  <c r="S33" i="1" l="1"/>
  <c r="I34" i="1" l="1"/>
  <c r="Q34" i="1"/>
  <c r="P34" i="1" s="1"/>
  <c r="S34" i="1" l="1"/>
  <c r="R34" i="1"/>
  <c r="AB34" i="1" s="1"/>
  <c r="Q35" i="1" l="1"/>
  <c r="P35" i="1" s="1"/>
  <c r="I35" i="1"/>
  <c r="R35" i="1" l="1"/>
  <c r="AB35" i="1" s="1"/>
  <c r="S35" i="1"/>
  <c r="I36" i="1" l="1"/>
  <c r="Q36" i="1"/>
  <c r="Q38" i="1" s="1"/>
  <c r="P36" i="1" l="1"/>
  <c r="P38" i="1" l="1"/>
  <c r="R36" i="1"/>
  <c r="R38" i="1" s="1"/>
  <c r="S36" i="1"/>
  <c r="AB36" i="1" l="1"/>
  <c r="AB37" i="1" s="1"/>
  <c r="AD21" i="1" l="1"/>
  <c r="AD24" i="1"/>
  <c r="AD27" i="1"/>
  <c r="AD31" i="1"/>
  <c r="AD35" i="1"/>
  <c r="AD23" i="1"/>
  <c r="AD26" i="1"/>
  <c r="AD30" i="1"/>
  <c r="AD34" i="1"/>
  <c r="AD36" i="1"/>
  <c r="AD22" i="1"/>
  <c r="AD20" i="1"/>
  <c r="AD29" i="1"/>
  <c r="AD33" i="1"/>
  <c r="AD19" i="1"/>
  <c r="AD25" i="1"/>
  <c r="AD28" i="1"/>
  <c r="AD32" i="1"/>
  <c r="AD37" i="1" l="1"/>
  <c r="AE31" i="1" s="1"/>
  <c r="AE25" i="1" l="1"/>
  <c r="AE20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<sst xmlns="http://schemas.openxmlformats.org/spreadsheetml/2006/main" count="55" uniqueCount="42">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</sst>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6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390092</xdr:colOff>
      <xdr:row>2</xdr:row>
      <xdr:rowOff>26478</xdr:rowOff>
    </xdr:from>
    <xdr:to>
      <xdr:col>23</xdr:col>
      <xdr:colOff>2313800</xdr:colOff>
      <xdr:row>4</xdr:row>
      <xdr:rowOff>74097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1651" y="777272"/>
          <a:ext cx="1923708" cy="473443"/>
        </a:xfrm>
        <a:prstGeom prst="rect">
          <a:avLst/>
        </a:prstGeom>
      </xdr:spPr>
    </xdr:pic>
    <xdr:clientData/>
  </xdr:twoCellAnchor>
  <xdr:twoCellAnchor editAs="oneCell">
    <xdr:from>
      <xdr:col>23</xdr:col>
      <xdr:colOff>488517</xdr:colOff>
      <xdr:row>0</xdr:row>
      <xdr:rowOff>41137</xdr:rowOff>
    </xdr:from>
    <xdr:to>
      <xdr:col>23</xdr:col>
      <xdr:colOff>2150291</xdr:colOff>
      <xdr:row>1</xdr:row>
      <xdr:rowOff>180133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5335" y="41137"/>
          <a:ext cx="1665071" cy="577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seguros total"/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6"/>
  <sheetViews>
    <sheetView showGridLines="0" tabSelected="1" topLeftCell="M1" zoomScale="85" zoomScaleNormal="85" workbookViewId="0">
      <selection activeCell="V6" sqref="V6"/>
    </sheetView>
  </sheetViews>
  <sheetFormatPr baseColWidth="10" defaultColWidth="18.81640625" defaultRowHeight="14.5" x14ac:dyDescent="0.35"/>
  <cols>
    <col min="1" max="1" width="16.26953125" style="16" hidden="1" customWidth="1"/>
    <col min="2" max="2" width="17.81640625" style="16" hidden="1" customWidth="1"/>
    <col min="3" max="3" width="22.1796875" style="16" hidden="1" customWidth="1"/>
    <col min="4" max="4" width="19.453125" style="16" hidden="1" customWidth="1"/>
    <col min="5" max="5" width="39.7265625" style="16" hidden="1" customWidth="1"/>
    <col min="6" max="6" width="21.54296875" style="16" hidden="1" customWidth="1"/>
    <col min="7" max="7" width="16.26953125" style="16" hidden="1" customWidth="1"/>
    <col min="8" max="8" width="17.453125" style="16" hidden="1" customWidth="1"/>
    <col min="9" max="9" width="15.7265625" style="16" hidden="1" customWidth="1"/>
    <col min="10" max="10" width="17.453125" style="16" hidden="1" customWidth="1"/>
    <col min="11" max="11" width="7" style="16" hidden="1" customWidth="1"/>
    <col min="12" max="12" width="35" style="16" hidden="1" customWidth="1"/>
    <col min="13" max="13" width="9.54296875" style="16" customWidth="1"/>
    <col min="14" max="14" width="24.54296875" style="16" customWidth="1"/>
    <col min="15" max="15" width="20.81640625" style="16" customWidth="1"/>
    <col min="16" max="16" width="21.453125" style="16" customWidth="1"/>
    <col min="17" max="17" width="18.81640625" style="16" customWidth="1"/>
    <col min="18" max="18" width="21" style="16" bestFit="1" customWidth="1"/>
    <col min="19" max="21" width="17.1796875" style="16" customWidth="1"/>
    <col min="22" max="22" width="20.1796875" style="16" bestFit="1" customWidth="1"/>
    <col min="23" max="23" width="29.1796875" style="16" bestFit="1" customWidth="1"/>
    <col min="24" max="24" width="36.6328125" style="16" bestFit="1" customWidth="1"/>
    <col min="25" max="25" width="20.1796875" style="16" bestFit="1" customWidth="1"/>
    <col min="26" max="26" width="24.54296875" style="16" customWidth="1"/>
    <col min="27" max="27" width="19.54296875" style="59" hidden="1" customWidth="1"/>
    <col min="28" max="28" width="16.26953125" style="59" hidden="1" customWidth="1"/>
    <col min="29" max="29" width="9.7265625" style="16" hidden="1" customWidth="1"/>
    <col min="30" max="30" width="14.54296875" style="16" hidden="1" customWidth="1"/>
    <col min="31" max="31" width="19.453125" style="16" hidden="1" customWidth="1"/>
    <col min="32" max="16384" width="18.81640625" style="16"/>
  </cols>
  <sheetData>
    <row r="1" spans="1:29" s="1" customFormat="1" ht="34.5" customHeight="1" x14ac:dyDescent="0.45">
      <c r="O1" s="2" t="s">
        <v>41</v>
      </c>
      <c r="S1" s="3"/>
      <c r="T1" s="4"/>
      <c r="AA1" s="5"/>
      <c r="AB1" s="5"/>
    </row>
    <row r="2" spans="1:29" s="1" customFormat="1" ht="24.5" x14ac:dyDescent="0.45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" thickBot="1" x14ac:dyDescent="0.4">
      <c r="O4" s="17" t="s">
        <v>32</v>
      </c>
      <c r="P4" s="18">
        <v>5213658169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1:29" s="1" customFormat="1" ht="15" thickBot="1" x14ac:dyDescent="0.4">
      <c r="A5" s="19" t="s">
        <v>0</v>
      </c>
      <c r="B5" s="20">
        <f>+XNPV($V$6,R19:R29,O19:O29)</f>
        <v>5060862528.7084618</v>
      </c>
      <c r="O5" s="21"/>
      <c r="P5" s="22"/>
      <c r="Q5" s="10"/>
      <c r="S5" s="23"/>
      <c r="X5" s="16"/>
      <c r="Y5" s="24"/>
      <c r="AA5" s="127"/>
      <c r="AB5" s="25"/>
      <c r="AC5" s="10"/>
    </row>
    <row r="6" spans="1:29" s="1" customFormat="1" ht="19" thickBot="1" x14ac:dyDescent="0.4">
      <c r="A6" s="19" t="s">
        <v>1</v>
      </c>
      <c r="B6" s="20">
        <f>+XNPV($V$6,X19:X29,U19:U29)</f>
        <v>5600925080.0073195</v>
      </c>
      <c r="E6" s="137"/>
      <c r="N6" s="148"/>
      <c r="O6" s="26" t="s">
        <v>2</v>
      </c>
      <c r="P6" s="27"/>
      <c r="Q6" s="10"/>
      <c r="S6" s="34" t="s">
        <v>33</v>
      </c>
      <c r="T6" s="35"/>
      <c r="U6" s="35"/>
      <c r="V6" s="36">
        <v>0.20369999999999999</v>
      </c>
      <c r="W6" s="28" t="s">
        <v>35</v>
      </c>
      <c r="Y6" s="29"/>
      <c r="AA6" s="25"/>
      <c r="AB6" s="25"/>
      <c r="AC6" s="10"/>
    </row>
    <row r="7" spans="1:29" s="1" customFormat="1" ht="15" thickBot="1" x14ac:dyDescent="0.4">
      <c r="A7" s="30"/>
      <c r="B7" s="31"/>
      <c r="E7" s="136"/>
      <c r="G7" s="144"/>
      <c r="O7" s="32" t="s">
        <v>3</v>
      </c>
      <c r="P7" s="33">
        <v>0.15</v>
      </c>
      <c r="Q7" s="10"/>
      <c r="S7" s="43" t="s">
        <v>8</v>
      </c>
      <c r="T7" s="44"/>
      <c r="U7" s="44"/>
      <c r="V7" s="128">
        <f>+ROUND((B5/P4)*100,4)</f>
        <v>97.069299999999998</v>
      </c>
      <c r="W7" s="39"/>
      <c r="X7" s="16"/>
      <c r="AA7" s="37"/>
      <c r="AB7" s="37"/>
      <c r="AC7" s="16"/>
    </row>
    <row r="8" spans="1:29" s="1" customFormat="1" x14ac:dyDescent="0.35">
      <c r="A8" s="16" t="s">
        <v>4</v>
      </c>
      <c r="B8" s="16">
        <v>360</v>
      </c>
      <c r="O8" s="32" t="s">
        <v>5</v>
      </c>
      <c r="P8" s="33">
        <v>0.7</v>
      </c>
      <c r="Q8" s="38"/>
      <c r="R8" s="16"/>
      <c r="W8" s="45"/>
      <c r="Y8" s="16"/>
      <c r="AA8" s="37"/>
      <c r="AB8" s="37"/>
      <c r="AC8" s="16"/>
    </row>
    <row r="9" spans="1:29" s="1" customFormat="1" ht="19" thickBot="1" x14ac:dyDescent="0.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1:29" s="1" customFormat="1" ht="19" thickBot="1" x14ac:dyDescent="0.4">
      <c r="O10" s="41" t="s">
        <v>9</v>
      </c>
      <c r="P10" s="46">
        <f>+SUM(AE19:AE29)/(360/12)</f>
        <v>7.6694562796132972</v>
      </c>
      <c r="Q10" s="10"/>
      <c r="S10" s="120" t="s">
        <v>11</v>
      </c>
      <c r="T10" s="49"/>
      <c r="U10" s="50"/>
      <c r="V10" s="50"/>
      <c r="W10" s="145">
        <v>0.31187500000000001</v>
      </c>
      <c r="X10" s="28" t="s">
        <v>12</v>
      </c>
      <c r="Y10" s="10"/>
      <c r="AA10" s="37"/>
      <c r="AB10" s="37"/>
      <c r="AC10" s="16"/>
    </row>
    <row r="11" spans="1:29" s="1" customFormat="1" ht="15" thickBot="1" x14ac:dyDescent="0.4">
      <c r="E11" s="1">
        <v>1245919840</v>
      </c>
      <c r="O11" s="47" t="s">
        <v>10</v>
      </c>
      <c r="P11" s="48">
        <f>+O29-Q14</f>
        <v>296</v>
      </c>
      <c r="Q11" s="149"/>
      <c r="Y11" s="51"/>
      <c r="AA11" s="37"/>
      <c r="AB11" s="37"/>
      <c r="AC11" s="16"/>
    </row>
    <row r="12" spans="1:29" s="1" customFormat="1" ht="15" thickBot="1" x14ac:dyDescent="0.4">
      <c r="C12" s="5"/>
      <c r="S12" s="111" t="s">
        <v>13</v>
      </c>
      <c r="T12" s="112"/>
      <c r="U12" s="112"/>
      <c r="V12" s="112"/>
      <c r="W12" s="134">
        <f>+XIRR(AA19:AA29,U19:U29)</f>
        <v>0.42150111794471745</v>
      </c>
      <c r="AA12" s="37"/>
      <c r="AB12" s="37"/>
      <c r="AC12" s="16"/>
    </row>
    <row r="13" spans="1:29" s="1" customFormat="1" ht="19" thickBot="1" x14ac:dyDescent="0.4">
      <c r="B13" s="5"/>
      <c r="C13" s="137">
        <v>45436</v>
      </c>
      <c r="D13" s="138">
        <v>10</v>
      </c>
      <c r="E13" s="144">
        <f>+C14-C13</f>
        <v>7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0.35691843022343672</v>
      </c>
      <c r="X13" s="28"/>
      <c r="Y13" s="10"/>
      <c r="AA13" s="25"/>
      <c r="AB13" s="25"/>
      <c r="AC13" s="16"/>
    </row>
    <row r="14" spans="1:29" s="1" customFormat="1" ht="15" thickBot="1" x14ac:dyDescent="0.4">
      <c r="B14" s="8"/>
      <c r="C14" s="136">
        <v>45443</v>
      </c>
      <c r="D14" s="8">
        <v>30</v>
      </c>
      <c r="E14" s="8"/>
      <c r="O14" s="131" t="s">
        <v>34</v>
      </c>
      <c r="P14" s="132"/>
      <c r="Q14" s="133">
        <v>45435</v>
      </c>
      <c r="R14" s="10"/>
      <c r="S14" s="43" t="s">
        <v>14</v>
      </c>
      <c r="T14" s="44"/>
      <c r="U14" s="44"/>
      <c r="V14" s="55"/>
      <c r="W14" s="56">
        <f>+W13-W10</f>
        <v>4.5043430223436709E-2</v>
      </c>
      <c r="X14" s="45"/>
      <c r="Y14" s="51"/>
      <c r="AA14" s="25"/>
      <c r="AB14" s="25"/>
      <c r="AC14" s="16"/>
    </row>
    <row r="15" spans="1:29" s="45" customFormat="1" x14ac:dyDescent="0.35">
      <c r="B15" s="52"/>
      <c r="C15" s="85"/>
      <c r="D15" s="52"/>
      <c r="E15" s="52"/>
      <c r="L15" s="53"/>
      <c r="M15" s="53"/>
      <c r="R15" s="53"/>
      <c r="Y15" s="130"/>
      <c r="AA15" s="54"/>
      <c r="AB15" s="54"/>
    </row>
    <row r="16" spans="1:29" ht="16" thickBot="1" x14ac:dyDescent="0.4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" thickBot="1" x14ac:dyDescent="0.4">
      <c r="A17" s="152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3" t="s">
        <v>38</v>
      </c>
      <c r="P17" s="154"/>
      <c r="Q17" s="154"/>
      <c r="R17" s="154"/>
      <c r="S17" s="155"/>
      <c r="U17" s="153" t="s">
        <v>38</v>
      </c>
      <c r="V17" s="154"/>
      <c r="W17" s="154"/>
      <c r="X17" s="154"/>
      <c r="Y17" s="155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" thickBot="1" x14ac:dyDescent="0.4">
      <c r="A18" s="152"/>
      <c r="B18" s="64"/>
      <c r="C18" s="60" t="s">
        <v>21</v>
      </c>
      <c r="D18" s="109" t="s">
        <v>11</v>
      </c>
      <c r="E18" s="110" t="s">
        <v>12</v>
      </c>
      <c r="F18" s="152" t="s">
        <v>24</v>
      </c>
      <c r="G18" s="151" t="s">
        <v>25</v>
      </c>
      <c r="H18" s="60" t="s">
        <v>26</v>
      </c>
      <c r="I18" s="151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" thickBot="1" x14ac:dyDescent="0.4">
      <c r="A19" s="73"/>
      <c r="B19" s="64"/>
      <c r="C19" s="64"/>
      <c r="D19" s="64"/>
      <c r="E19" s="108"/>
      <c r="F19" s="152"/>
      <c r="G19" s="151"/>
      <c r="H19" s="74">
        <v>0</v>
      </c>
      <c r="I19" s="151"/>
      <c r="J19" s="74">
        <v>0</v>
      </c>
      <c r="K19" s="74"/>
      <c r="O19" s="76">
        <f>+Q14</f>
        <v>45435</v>
      </c>
      <c r="P19" s="77"/>
      <c r="Q19" s="77"/>
      <c r="R19" s="78">
        <v>0</v>
      </c>
      <c r="S19" s="79">
        <f>P4</f>
        <v>5213658169</v>
      </c>
      <c r="U19" s="80">
        <f>+Q14</f>
        <v>45435</v>
      </c>
      <c r="V19" s="60"/>
      <c r="W19" s="60"/>
      <c r="X19" s="75">
        <v>0</v>
      </c>
      <c r="Y19" s="81">
        <f>+P4</f>
        <v>5213658169</v>
      </c>
      <c r="AA19" s="82">
        <f>-(V7*Y19/100)</f>
        <v>-5060861489.0411167</v>
      </c>
      <c r="AB19" s="83">
        <f>-S19</f>
        <v>-5213658169</v>
      </c>
      <c r="AC19" s="71">
        <f t="shared" ref="AC19:AC28" si="0">+O19-$O$19</f>
        <v>0</v>
      </c>
      <c r="AD19" s="71">
        <f t="shared" ref="AD19:AD28" si="1">+R19/((1+$AB$37)^(AC19/365))</f>
        <v>0</v>
      </c>
      <c r="AE19" s="72">
        <f>+AD19/$AD$37*AC19</f>
        <v>0</v>
      </c>
    </row>
    <row r="20" spans="1:31" ht="15" thickBot="1" x14ac:dyDescent="0.4">
      <c r="A20" s="84">
        <v>15206503</v>
      </c>
      <c r="B20" s="64"/>
      <c r="C20" s="85">
        <v>7</v>
      </c>
      <c r="D20" s="107"/>
      <c r="E20" s="143">
        <f>+$W$10</f>
        <v>0.31187500000000001</v>
      </c>
      <c r="F20" s="87">
        <f>+MAX($P$7,MIN($P$8,$E20+$P$9/10000))</f>
        <v>0.33187500000000003</v>
      </c>
      <c r="G20" s="74">
        <f>+((F20*Y19)/$B$8)*$C20</f>
        <v>33644387.871828124</v>
      </c>
      <c r="H20" s="74">
        <f t="shared" ref="H20:H28" si="2">+H19+G20-W20</f>
        <v>0</v>
      </c>
      <c r="I20" s="74">
        <f>+(($P$7*S19)/$B$8)*$C20</f>
        <v>15206502.992916666</v>
      </c>
      <c r="J20" s="74">
        <f>+J19+I20-Q20</f>
        <v>0</v>
      </c>
      <c r="K20" s="74"/>
      <c r="L20" s="89">
        <f>+U20</f>
        <v>45458</v>
      </c>
      <c r="M20" s="89"/>
      <c r="N20" s="89"/>
      <c r="O20" s="135">
        <v>45458</v>
      </c>
      <c r="P20" s="90">
        <v>0</v>
      </c>
      <c r="Q20" s="90">
        <f>+(($P$7*S19)/$B$8)*$C20</f>
        <v>15206502.992916666</v>
      </c>
      <c r="R20" s="90">
        <f>P20+Q20</f>
        <v>15206502.992916666</v>
      </c>
      <c r="S20" s="91">
        <f>+S19-P20</f>
        <v>5213658169</v>
      </c>
      <c r="U20" s="40">
        <f>+O20</f>
        <v>45458</v>
      </c>
      <c r="V20" s="129">
        <v>0</v>
      </c>
      <c r="W20" s="74">
        <f>+((F20*Y19)/$B$8)*$C20</f>
        <v>33644387.871828124</v>
      </c>
      <c r="X20" s="74">
        <f>+W20+V20</f>
        <v>33644387.871828124</v>
      </c>
      <c r="Y20" s="92">
        <f>+Y19-V20</f>
        <v>5213658169</v>
      </c>
      <c r="AA20" s="93">
        <f>+X20</f>
        <v>33644387.871828124</v>
      </c>
      <c r="AB20" s="94">
        <f t="shared" ref="AB20:AB28" si="3">+R20</f>
        <v>15206502.992916666</v>
      </c>
      <c r="AC20" s="71">
        <f>+O20-$O$19</f>
        <v>23</v>
      </c>
      <c r="AD20" s="71">
        <f>+R20/((1+$AB$37)^(AC20/365))</f>
        <v>15074662.457779858</v>
      </c>
      <c r="AE20" s="72">
        <f>+AD20/$AD$37*AC20</f>
        <v>6.6501720223820004E-2</v>
      </c>
    </row>
    <row r="21" spans="1:31" ht="15" thickBot="1" x14ac:dyDescent="0.4">
      <c r="A21" s="84">
        <v>65170727</v>
      </c>
      <c r="B21" s="64"/>
      <c r="C21" s="85">
        <v>30</v>
      </c>
      <c r="D21" s="107"/>
      <c r="E21" s="143">
        <f>+$W$10</f>
        <v>0.31187500000000001</v>
      </c>
      <c r="F21" s="87">
        <f>+MAX($P$7,MIN($P$8,$E21+$P$9/10000))</f>
        <v>0.33187500000000003</v>
      </c>
      <c r="G21" s="74">
        <f>+((F21*Y20)/$B$8)*$C21</f>
        <v>144190233.73640627</v>
      </c>
      <c r="H21" s="74">
        <f t="shared" si="2"/>
        <v>0</v>
      </c>
      <c r="I21" s="74">
        <f t="shared" ref="I21:I29" si="4">+(($P$7*S20)/$B$8)*$C21</f>
        <v>65170727.112499997</v>
      </c>
      <c r="J21" s="74">
        <f>+J20+I21-Q21</f>
        <v>0</v>
      </c>
      <c r="K21" s="74"/>
      <c r="L21" s="89">
        <f t="shared" ref="L21:L28" si="5">+U21</f>
        <v>45488</v>
      </c>
      <c r="M21" s="89"/>
      <c r="N21" s="89"/>
      <c r="O21" s="135">
        <v>45488</v>
      </c>
      <c r="P21" s="90">
        <v>0</v>
      </c>
      <c r="Q21" s="90">
        <f>+(($P$7*S20)/$B$8)*$C21</f>
        <v>65170727.112499997</v>
      </c>
      <c r="R21" s="90">
        <f t="shared" ref="R21:R29" si="6">P21+Q21</f>
        <v>65170727.112499997</v>
      </c>
      <c r="S21" s="91">
        <f t="shared" ref="S21:S36" si="7">+S20-P21</f>
        <v>5213658169</v>
      </c>
      <c r="U21" s="40">
        <f t="shared" ref="U21:U28" si="8">+O21</f>
        <v>45488</v>
      </c>
      <c r="V21" s="129">
        <v>0</v>
      </c>
      <c r="W21" s="74">
        <f>+((F21*Y20)/$B$8)*$C21</f>
        <v>144190233.73640627</v>
      </c>
      <c r="X21" s="74">
        <f>+W21+V21</f>
        <v>144190233.73640627</v>
      </c>
      <c r="Y21" s="92">
        <f t="shared" ref="Y21:Y36" si="9">+Y20-V21</f>
        <v>5213658169</v>
      </c>
      <c r="AA21" s="93">
        <f>+X21</f>
        <v>144190233.73640627</v>
      </c>
      <c r="AB21" s="94">
        <f t="shared" si="3"/>
        <v>65170727.112499997</v>
      </c>
      <c r="AC21" s="71">
        <f t="shared" si="0"/>
        <v>53</v>
      </c>
      <c r="AD21" s="71">
        <f t="shared" si="1"/>
        <v>63876055.107884862</v>
      </c>
      <c r="AE21" s="72">
        <f t="shared" ref="AE21:AE28" si="10">+AD21/$AD$37*AC21</f>
        <v>0.64933887389201439</v>
      </c>
    </row>
    <row r="22" spans="1:31" ht="15" thickBot="1" x14ac:dyDescent="0.4">
      <c r="A22" s="84">
        <v>65170727</v>
      </c>
      <c r="B22" s="64"/>
      <c r="C22" s="85">
        <v>30</v>
      </c>
      <c r="D22" s="107"/>
      <c r="E22" s="143">
        <f t="shared" ref="E22:E38" si="11">+$W$10</f>
        <v>0.31187500000000001</v>
      </c>
      <c r="F22" s="87">
        <f t="shared" ref="F22:F29" si="12">+MAX($P$7,MIN($P$8,$E22+$P$9/10000))</f>
        <v>0.33187500000000003</v>
      </c>
      <c r="G22" s="74">
        <f t="shared" ref="G22:G29" si="13">+((F22*Y21)/$B$8)*$C22</f>
        <v>144190233.73640627</v>
      </c>
      <c r="H22" s="74">
        <f t="shared" si="2"/>
        <v>0</v>
      </c>
      <c r="I22" s="74">
        <f t="shared" si="4"/>
        <v>65170727.112499997</v>
      </c>
      <c r="J22" s="74">
        <f>+J21+I22-Q22</f>
        <v>0</v>
      </c>
      <c r="K22" s="74"/>
      <c r="L22" s="89">
        <f t="shared" si="5"/>
        <v>45519</v>
      </c>
      <c r="M22" s="89"/>
      <c r="N22" s="89"/>
      <c r="O22" s="135">
        <v>45519</v>
      </c>
      <c r="P22" s="90">
        <v>0</v>
      </c>
      <c r="Q22" s="90">
        <f>+(($P$7*S21)/$B$8)*$C22</f>
        <v>65170727.112499997</v>
      </c>
      <c r="R22" s="90">
        <f t="shared" si="6"/>
        <v>65170727.112499997</v>
      </c>
      <c r="S22" s="91">
        <f t="shared" si="7"/>
        <v>5213658169</v>
      </c>
      <c r="U22" s="40">
        <f t="shared" si="8"/>
        <v>45519</v>
      </c>
      <c r="V22" s="129">
        <v>0</v>
      </c>
      <c r="W22" s="74">
        <f t="shared" ref="W22:W30" si="14">+((F22*Y21)/$B$8)*$C22</f>
        <v>144190233.73640627</v>
      </c>
      <c r="X22" s="74">
        <f>+W22+V22</f>
        <v>144190233.73640627</v>
      </c>
      <c r="Y22" s="92">
        <f t="shared" si="9"/>
        <v>5213658169</v>
      </c>
      <c r="Z22" s="74"/>
      <c r="AA22" s="93">
        <f t="shared" ref="AA22:AA28" si="15">+X22</f>
        <v>144190233.73640627</v>
      </c>
      <c r="AB22" s="94">
        <f t="shared" si="3"/>
        <v>65170727.112499997</v>
      </c>
      <c r="AC22" s="71">
        <f t="shared" si="0"/>
        <v>84</v>
      </c>
      <c r="AD22" s="71">
        <f t="shared" si="1"/>
        <v>63130748.495968178</v>
      </c>
      <c r="AE22" s="72">
        <f t="shared" si="10"/>
        <v>1.0171328283141241</v>
      </c>
    </row>
    <row r="23" spans="1:31" ht="15" thickBot="1" x14ac:dyDescent="0.4">
      <c r="A23" s="84">
        <v>65170727</v>
      </c>
      <c r="B23" s="64"/>
      <c r="C23" s="85">
        <v>30</v>
      </c>
      <c r="D23" s="107"/>
      <c r="E23" s="143">
        <f t="shared" si="11"/>
        <v>0.31187500000000001</v>
      </c>
      <c r="F23" s="87">
        <f t="shared" si="12"/>
        <v>0.33187500000000003</v>
      </c>
      <c r="G23" s="74">
        <f>+((F23*Y22)/$B$8)*$C23</f>
        <v>144190233.73640627</v>
      </c>
      <c r="H23" s="74">
        <f t="shared" si="2"/>
        <v>0</v>
      </c>
      <c r="I23" s="74">
        <f t="shared" si="4"/>
        <v>65170727.112499997</v>
      </c>
      <c r="J23" s="74">
        <f>+J22+I23-Q23</f>
        <v>0</v>
      </c>
      <c r="K23" s="74"/>
      <c r="L23" s="89">
        <f t="shared" si="5"/>
        <v>45550</v>
      </c>
      <c r="M23" s="89"/>
      <c r="N23" s="89"/>
      <c r="O23" s="135">
        <v>45550</v>
      </c>
      <c r="P23" s="90">
        <v>0</v>
      </c>
      <c r="Q23" s="90">
        <f t="shared" ref="Q23:Q29" si="16">+(($P$7*S22)/$B$8)*$C23</f>
        <v>65170727.112499997</v>
      </c>
      <c r="R23" s="90">
        <f t="shared" si="6"/>
        <v>65170727.112499997</v>
      </c>
      <c r="S23" s="91">
        <f t="shared" si="7"/>
        <v>5213658169</v>
      </c>
      <c r="U23" s="40">
        <f t="shared" si="8"/>
        <v>45550</v>
      </c>
      <c r="V23" s="129">
        <v>0</v>
      </c>
      <c r="W23" s="74">
        <f t="shared" si="14"/>
        <v>144190233.73640627</v>
      </c>
      <c r="X23" s="74">
        <f t="shared" ref="X23:X36" si="17">+W23+V23</f>
        <v>144190233.73640627</v>
      </c>
      <c r="Y23" s="92">
        <f t="shared" si="9"/>
        <v>5213658169</v>
      </c>
      <c r="Z23" s="123"/>
      <c r="AA23" s="93">
        <f t="shared" si="15"/>
        <v>144190233.73640627</v>
      </c>
      <c r="AB23" s="94">
        <f t="shared" si="3"/>
        <v>65170727.112499997</v>
      </c>
      <c r="AC23" s="71">
        <f t="shared" si="0"/>
        <v>115</v>
      </c>
      <c r="AD23" s="71">
        <f t="shared" si="1"/>
        <v>62394138.130944453</v>
      </c>
      <c r="AE23" s="72">
        <f t="shared" si="10"/>
        <v>1.3762555311641598</v>
      </c>
    </row>
    <row r="24" spans="1:31" ht="15" thickBot="1" x14ac:dyDescent="0.4">
      <c r="A24" s="84">
        <v>65170727</v>
      </c>
      <c r="B24" s="64"/>
      <c r="C24" s="85">
        <v>30</v>
      </c>
      <c r="D24" s="107"/>
      <c r="E24" s="143">
        <f t="shared" si="11"/>
        <v>0.31187500000000001</v>
      </c>
      <c r="F24" s="87">
        <f t="shared" si="12"/>
        <v>0.33187500000000003</v>
      </c>
      <c r="G24" s="74">
        <f t="shared" si="13"/>
        <v>144190233.73640627</v>
      </c>
      <c r="H24" s="74">
        <f t="shared" si="2"/>
        <v>0</v>
      </c>
      <c r="I24" s="74">
        <f t="shared" si="4"/>
        <v>65170727.112499997</v>
      </c>
      <c r="J24" s="74">
        <f>+J23+I24-Q24</f>
        <v>0</v>
      </c>
      <c r="K24" s="74"/>
      <c r="L24" s="89">
        <f t="shared" si="5"/>
        <v>45580</v>
      </c>
      <c r="M24" s="89"/>
      <c r="N24" s="89"/>
      <c r="O24" s="135">
        <v>45580</v>
      </c>
      <c r="P24" s="90">
        <v>0</v>
      </c>
      <c r="Q24" s="90">
        <f>+(($P$7*S23)/$B$8)*$C24</f>
        <v>65170727.112499997</v>
      </c>
      <c r="R24" s="90">
        <f t="shared" si="6"/>
        <v>65170727.112499997</v>
      </c>
      <c r="S24" s="91">
        <f t="shared" si="7"/>
        <v>5213658169</v>
      </c>
      <c r="U24" s="40">
        <f t="shared" si="8"/>
        <v>45580</v>
      </c>
      <c r="V24" s="129">
        <v>0</v>
      </c>
      <c r="W24" s="74">
        <f t="shared" si="14"/>
        <v>144190233.73640627</v>
      </c>
      <c r="X24" s="74">
        <f t="shared" si="17"/>
        <v>144190233.73640627</v>
      </c>
      <c r="Y24" s="92">
        <f t="shared" si="9"/>
        <v>5213658169</v>
      </c>
      <c r="AA24" s="93">
        <f t="shared" si="15"/>
        <v>144190233.73640627</v>
      </c>
      <c r="AB24" s="94">
        <f t="shared" si="3"/>
        <v>65170727.112499997</v>
      </c>
      <c r="AC24" s="71">
        <f t="shared" si="0"/>
        <v>145</v>
      </c>
      <c r="AD24" s="71">
        <f t="shared" si="1"/>
        <v>61689473.794774212</v>
      </c>
      <c r="AE24" s="72">
        <f t="shared" si="10"/>
        <v>1.7156808942588944</v>
      </c>
    </row>
    <row r="25" spans="1:31" ht="15" thickBot="1" x14ac:dyDescent="0.4">
      <c r="A25" s="84">
        <v>65170727</v>
      </c>
      <c r="B25" s="64"/>
      <c r="C25" s="85">
        <v>30</v>
      </c>
      <c r="D25" s="107"/>
      <c r="E25" s="143">
        <f t="shared" si="11"/>
        <v>0.31187500000000001</v>
      </c>
      <c r="F25" s="87">
        <f t="shared" si="12"/>
        <v>0.33187500000000003</v>
      </c>
      <c r="G25" s="74">
        <f t="shared" si="13"/>
        <v>144190233.73640627</v>
      </c>
      <c r="H25" s="74">
        <f t="shared" si="2"/>
        <v>0</v>
      </c>
      <c r="I25" s="74">
        <f t="shared" si="4"/>
        <v>65170727.112499997</v>
      </c>
      <c r="J25" s="74">
        <f t="shared" ref="J25:J28" si="18">+J24+I25-Q25</f>
        <v>0</v>
      </c>
      <c r="K25" s="74"/>
      <c r="L25" s="89">
        <f t="shared" si="5"/>
        <v>45611</v>
      </c>
      <c r="M25" s="89"/>
      <c r="N25" s="89"/>
      <c r="O25" s="135">
        <v>45611</v>
      </c>
      <c r="P25" s="90">
        <v>0</v>
      </c>
      <c r="Q25" s="90">
        <f>+(($P$7*S24)/$B$8)*$C25</f>
        <v>65170727.112499997</v>
      </c>
      <c r="R25" s="90">
        <f>P25+Q25</f>
        <v>65170727.112499997</v>
      </c>
      <c r="S25" s="91">
        <f t="shared" si="7"/>
        <v>5213658169</v>
      </c>
      <c r="U25" s="40">
        <f t="shared" si="8"/>
        <v>45611</v>
      </c>
      <c r="V25" s="129">
        <v>0</v>
      </c>
      <c r="W25" s="74">
        <f t="shared" si="14"/>
        <v>144190233.73640627</v>
      </c>
      <c r="X25" s="74">
        <f t="shared" si="17"/>
        <v>144190233.73640627</v>
      </c>
      <c r="Y25" s="92">
        <f t="shared" si="9"/>
        <v>5213658169</v>
      </c>
      <c r="AA25" s="93">
        <f t="shared" si="15"/>
        <v>144190233.73640627</v>
      </c>
      <c r="AB25" s="94">
        <f t="shared" si="3"/>
        <v>65170727.112499997</v>
      </c>
      <c r="AC25" s="71">
        <f t="shared" si="0"/>
        <v>176</v>
      </c>
      <c r="AD25" s="71">
        <f t="shared" si="1"/>
        <v>60969680.24103564</v>
      </c>
      <c r="AE25" s="72">
        <f>+AD25/$AD$37*AC25</f>
        <v>2.0581832153154687</v>
      </c>
    </row>
    <row r="26" spans="1:31" ht="15" thickBot="1" x14ac:dyDescent="0.4">
      <c r="A26" s="84">
        <v>1812394866</v>
      </c>
      <c r="B26" s="64"/>
      <c r="C26" s="85">
        <v>30</v>
      </c>
      <c r="D26" s="107"/>
      <c r="E26" s="143">
        <f t="shared" si="11"/>
        <v>0.31187500000000001</v>
      </c>
      <c r="F26" s="87">
        <f t="shared" si="12"/>
        <v>0.33187500000000003</v>
      </c>
      <c r="G26" s="74">
        <f t="shared" si="13"/>
        <v>144190233.73640627</v>
      </c>
      <c r="H26" s="74">
        <f t="shared" si="2"/>
        <v>0</v>
      </c>
      <c r="I26" s="74">
        <f t="shared" si="4"/>
        <v>65170727.112499997</v>
      </c>
      <c r="J26" s="74">
        <f t="shared" si="18"/>
        <v>0</v>
      </c>
      <c r="K26" s="74"/>
      <c r="L26" s="89">
        <f t="shared" si="5"/>
        <v>45641</v>
      </c>
      <c r="M26" s="89"/>
      <c r="N26" s="89"/>
      <c r="O26" s="135">
        <v>45641</v>
      </c>
      <c r="P26" s="90">
        <f>MIN(A26-Q26,S25)</f>
        <v>1747224138.8875</v>
      </c>
      <c r="Q26" s="90">
        <f>+(($P$7*S25)/$B$8)*$C26</f>
        <v>65170727.112499997</v>
      </c>
      <c r="R26" s="90">
        <f t="shared" si="6"/>
        <v>1812394866</v>
      </c>
      <c r="S26" s="91">
        <f t="shared" si="7"/>
        <v>3466434030.1125002</v>
      </c>
      <c r="U26" s="40">
        <f t="shared" si="8"/>
        <v>45641</v>
      </c>
      <c r="V26" s="74">
        <f>+IF(Y25&gt;0,MIN(A26-W26,Y25),0)</f>
        <v>1668204632.2635937</v>
      </c>
      <c r="W26" s="74">
        <f t="shared" si="14"/>
        <v>144190233.73640627</v>
      </c>
      <c r="X26" s="74">
        <f t="shared" si="17"/>
        <v>1812394866</v>
      </c>
      <c r="Y26" s="92">
        <f t="shared" si="9"/>
        <v>3545453536.7364063</v>
      </c>
      <c r="AA26" s="93">
        <f t="shared" si="15"/>
        <v>1812394866</v>
      </c>
      <c r="AB26" s="94">
        <f>+R26</f>
        <v>1812394866</v>
      </c>
      <c r="AC26" s="71">
        <f>+O26-$O$19</f>
        <v>206</v>
      </c>
      <c r="AD26" s="71">
        <f t="shared" si="1"/>
        <v>1676414659.4445395</v>
      </c>
      <c r="AE26" s="72">
        <f>+AD26/$AD$37*AC26</f>
        <v>66.237833210090471</v>
      </c>
    </row>
    <row r="27" spans="1:31" ht="15.65" customHeight="1" thickBot="1" x14ac:dyDescent="0.4">
      <c r="A27" s="84">
        <v>1712060518</v>
      </c>
      <c r="C27" s="85">
        <v>30</v>
      </c>
      <c r="D27" s="107"/>
      <c r="E27" s="143">
        <f t="shared" si="11"/>
        <v>0.31187500000000001</v>
      </c>
      <c r="F27" s="87">
        <f t="shared" si="12"/>
        <v>0.33187500000000003</v>
      </c>
      <c r="G27" s="74">
        <f>+((F27*Y26)/$B$8)*$C27</f>
        <v>98053949.375366256</v>
      </c>
      <c r="H27" s="74">
        <f t="shared" si="2"/>
        <v>0</v>
      </c>
      <c r="I27" s="74">
        <f t="shared" si="4"/>
        <v>43330425.376406252</v>
      </c>
      <c r="J27" s="74">
        <f t="shared" si="18"/>
        <v>0</v>
      </c>
      <c r="K27" s="74"/>
      <c r="L27" s="89">
        <f>+U27</f>
        <v>45672</v>
      </c>
      <c r="M27" s="89"/>
      <c r="N27" s="89"/>
      <c r="O27" s="135">
        <v>45672</v>
      </c>
      <c r="P27" s="90">
        <f>MIN(A27-Q27,S26)</f>
        <v>1668730092.6235938</v>
      </c>
      <c r="Q27" s="90">
        <f t="shared" si="16"/>
        <v>43330425.376406252</v>
      </c>
      <c r="R27" s="90">
        <f t="shared" si="6"/>
        <v>1712060518</v>
      </c>
      <c r="S27" s="91">
        <f t="shared" si="7"/>
        <v>1797703937.4889064</v>
      </c>
      <c r="U27" s="40">
        <f t="shared" si="8"/>
        <v>45672</v>
      </c>
      <c r="V27" s="74">
        <f>+IF(Y26&gt;0,MIN(A27-W27,Y26),0)</f>
        <v>1614006568.6246338</v>
      </c>
      <c r="W27" s="74">
        <f t="shared" si="14"/>
        <v>98053949.375366256</v>
      </c>
      <c r="X27" s="74">
        <f t="shared" si="17"/>
        <v>1712060518</v>
      </c>
      <c r="Y27" s="92">
        <f>+Y26-V27</f>
        <v>1931446968.1117725</v>
      </c>
      <c r="AA27" s="93">
        <f t="shared" si="15"/>
        <v>1712060518</v>
      </c>
      <c r="AB27" s="94">
        <f t="shared" si="3"/>
        <v>1712060518</v>
      </c>
      <c r="AC27" s="71">
        <f t="shared" si="0"/>
        <v>237</v>
      </c>
      <c r="AD27" s="71">
        <f>+R27/((1+$AB$37)^(AC27/365))</f>
        <v>1565130628.1031544</v>
      </c>
      <c r="AE27" s="72">
        <f>+AD27/$AD$37*AC27</f>
        <v>71.146965763939264</v>
      </c>
    </row>
    <row r="28" spans="1:31" ht="15" thickBot="1" x14ac:dyDescent="0.4">
      <c r="A28" s="84">
        <f>1561338217</f>
        <v>1561338217</v>
      </c>
      <c r="C28" s="85">
        <v>30</v>
      </c>
      <c r="D28" s="107"/>
      <c r="E28" s="143">
        <f t="shared" si="11"/>
        <v>0.31187500000000001</v>
      </c>
      <c r="F28" s="87">
        <f t="shared" si="12"/>
        <v>0.33187500000000003</v>
      </c>
      <c r="G28" s="74">
        <f t="shared" si="13"/>
        <v>53416580.211841211</v>
      </c>
      <c r="H28" s="74">
        <f t="shared" si="2"/>
        <v>0</v>
      </c>
      <c r="I28" s="74">
        <f t="shared" si="4"/>
        <v>22471299.21861133</v>
      </c>
      <c r="J28" s="74">
        <f t="shared" si="18"/>
        <v>0</v>
      </c>
      <c r="K28" s="74"/>
      <c r="L28" s="89">
        <f t="shared" si="5"/>
        <v>45703</v>
      </c>
      <c r="M28" s="89"/>
      <c r="N28" s="89"/>
      <c r="O28" s="135">
        <v>45703</v>
      </c>
      <c r="P28" s="90">
        <f>MIN(A28-Q28,S27)</f>
        <v>1538866917.7813888</v>
      </c>
      <c r="Q28" s="90">
        <f t="shared" si="16"/>
        <v>22471299.21861133</v>
      </c>
      <c r="R28" s="90">
        <f t="shared" si="6"/>
        <v>1561338217</v>
      </c>
      <c r="S28" s="91">
        <f>+S27-P28</f>
        <v>258837019.70751762</v>
      </c>
      <c r="U28" s="40">
        <f t="shared" si="8"/>
        <v>45703</v>
      </c>
      <c r="V28" s="74">
        <f>+IF(Y27&gt;0,MIN(A28-W28,Y27),0)</f>
        <v>1507921636.7881589</v>
      </c>
      <c r="W28" s="74">
        <f t="shared" si="14"/>
        <v>53416580.211841211</v>
      </c>
      <c r="X28" s="74">
        <f t="shared" si="17"/>
        <v>1561338217</v>
      </c>
      <c r="Y28" s="92">
        <f>+Y27-V28</f>
        <v>423525331.32361364</v>
      </c>
      <c r="AA28" s="93">
        <f t="shared" si="15"/>
        <v>1561338217</v>
      </c>
      <c r="AB28" s="94">
        <f t="shared" si="3"/>
        <v>1561338217</v>
      </c>
      <c r="AC28" s="71">
        <f t="shared" si="0"/>
        <v>268</v>
      </c>
      <c r="AD28" s="71">
        <f t="shared" si="1"/>
        <v>1410689129.7791905</v>
      </c>
      <c r="AE28" s="72">
        <f t="shared" si="10"/>
        <v>72.514283623468216</v>
      </c>
    </row>
    <row r="29" spans="1:31" ht="15" thickBot="1" x14ac:dyDescent="0.4">
      <c r="A29" s="84">
        <f>262072482+1245919840</f>
        <v>1507992322</v>
      </c>
      <c r="B29" s="64"/>
      <c r="C29" s="85">
        <v>30</v>
      </c>
      <c r="D29" s="107"/>
      <c r="E29" s="143">
        <f t="shared" si="11"/>
        <v>0.31187500000000001</v>
      </c>
      <c r="F29" s="87">
        <f t="shared" si="12"/>
        <v>0.33187500000000003</v>
      </c>
      <c r="G29" s="74">
        <f t="shared" si="13"/>
        <v>11713122.444418691</v>
      </c>
      <c r="H29" s="74">
        <f t="shared" ref="H29:H36" si="19">+H28+G29-W29</f>
        <v>0</v>
      </c>
      <c r="I29" s="74">
        <f t="shared" si="4"/>
        <v>3235462.7463439703</v>
      </c>
      <c r="J29" s="74">
        <f>+J28+I29-Q29</f>
        <v>0</v>
      </c>
      <c r="K29" s="74"/>
      <c r="L29" s="89">
        <f t="shared" ref="L29:L36" si="20">+U29</f>
        <v>45731</v>
      </c>
      <c r="M29" s="89"/>
      <c r="N29" s="89"/>
      <c r="O29" s="135">
        <v>45731</v>
      </c>
      <c r="P29" s="90">
        <f>MIN(A29-Q29,S28)</f>
        <v>258837019.70751762</v>
      </c>
      <c r="Q29" s="90">
        <f t="shared" si="16"/>
        <v>3235462.7463439703</v>
      </c>
      <c r="R29" s="90">
        <f t="shared" si="6"/>
        <v>262072482.45386159</v>
      </c>
      <c r="S29" s="91">
        <f>+S28-P29</f>
        <v>0</v>
      </c>
      <c r="U29" s="40">
        <f>+O29</f>
        <v>45731</v>
      </c>
      <c r="V29" s="74">
        <f>+IF(Y28&gt;0,MIN(A29-W29,Y28),0)</f>
        <v>423525331.32361364</v>
      </c>
      <c r="W29" s="74">
        <f t="shared" si="14"/>
        <v>11713122.444418691</v>
      </c>
      <c r="X29" s="74">
        <f t="shared" si="17"/>
        <v>435238453.76803231</v>
      </c>
      <c r="Y29" s="92">
        <f t="shared" si="9"/>
        <v>0</v>
      </c>
      <c r="AA29" s="93">
        <f t="shared" ref="AA29:AA36" si="21">+X29</f>
        <v>435238453.76803231</v>
      </c>
      <c r="AB29" s="94">
        <f t="shared" ref="AB29:AB36" si="22">+R29</f>
        <v>262072482.45386159</v>
      </c>
      <c r="AC29" s="71">
        <f t="shared" ref="AC29:AC36" si="23">+O29-$O$19</f>
        <v>296</v>
      </c>
      <c r="AD29" s="71">
        <f t="shared" ref="AD29:AD36" si="24">+R29/((1+$AB$37)^(AC29/365))</f>
        <v>234288987.90299448</v>
      </c>
      <c r="AE29" s="72">
        <f>+AD29/$AD$37*AC29</f>
        <v>13.301512727732462</v>
      </c>
    </row>
    <row r="30" spans="1:31" ht="15" hidden="1" thickBot="1" x14ac:dyDescent="0.4">
      <c r="A30" s="84"/>
      <c r="B30" s="64"/>
      <c r="C30" s="85">
        <v>30</v>
      </c>
      <c r="D30" s="107"/>
      <c r="E30" s="143">
        <f t="shared" si="11"/>
        <v>0.31187500000000001</v>
      </c>
      <c r="F30" s="87">
        <f t="shared" ref="F30:F38" si="25">+MAX($P$7,MIN($P$8,$E30+$P$9/10000))</f>
        <v>0.33187500000000003</v>
      </c>
      <c r="G30" s="74">
        <f t="shared" ref="G30:G37" si="26">+((F30*Y29)/$B$8)*$C30</f>
        <v>0</v>
      </c>
      <c r="H30" s="74">
        <f t="shared" si="19"/>
        <v>0</v>
      </c>
      <c r="I30" s="74">
        <f t="shared" ref="I30:I36" si="27">+(($P$7*S29)/$B$8)*$C30</f>
        <v>0</v>
      </c>
      <c r="J30" s="74">
        <f>+J29+I30-Q30</f>
        <v>0</v>
      </c>
      <c r="K30" s="74"/>
      <c r="L30" s="89">
        <f t="shared" si="20"/>
        <v>45611</v>
      </c>
      <c r="M30" s="89"/>
      <c r="N30" s="89"/>
      <c r="O30" s="135">
        <v>45611</v>
      </c>
      <c r="P30" s="90">
        <f t="shared" ref="P30" si="28">MIN(A30-Q30,S29)</f>
        <v>0</v>
      </c>
      <c r="Q30" s="90">
        <f t="shared" ref="Q30" si="29">+(($P$7*S29)/$B$8)*$C30</f>
        <v>0</v>
      </c>
      <c r="R30" s="90">
        <f t="shared" ref="R30:R36" si="30">P30+Q30</f>
        <v>0</v>
      </c>
      <c r="S30" s="91">
        <f t="shared" si="7"/>
        <v>0</v>
      </c>
      <c r="U30" s="40">
        <f t="shared" ref="U30:U36" si="31">+O30</f>
        <v>45611</v>
      </c>
      <c r="V30" s="74">
        <f>+IF(Y29&gt;0,MIN(A30-W30,Y29),0)</f>
        <v>0</v>
      </c>
      <c r="W30" s="74">
        <f t="shared" si="14"/>
        <v>0</v>
      </c>
      <c r="X30" s="74">
        <f t="shared" si="17"/>
        <v>0</v>
      </c>
      <c r="Y30" s="92">
        <f t="shared" si="9"/>
        <v>0</v>
      </c>
      <c r="AA30" s="93">
        <f t="shared" si="21"/>
        <v>0</v>
      </c>
      <c r="AB30" s="94">
        <f t="shared" si="22"/>
        <v>0</v>
      </c>
      <c r="AC30" s="71">
        <f t="shared" si="23"/>
        <v>176</v>
      </c>
      <c r="AD30" s="71">
        <f t="shared" si="24"/>
        <v>0</v>
      </c>
      <c r="AE30" s="72">
        <f t="shared" ref="AE30:AE36" si="32">+AD30/$AD$37*AC30</f>
        <v>0</v>
      </c>
    </row>
    <row r="31" spans="1:31" ht="15" hidden="1" thickBot="1" x14ac:dyDescent="0.4">
      <c r="A31" s="84"/>
      <c r="B31" s="64"/>
      <c r="C31" s="85">
        <v>30</v>
      </c>
      <c r="D31" s="107"/>
      <c r="E31" s="143">
        <f t="shared" si="11"/>
        <v>0.31187500000000001</v>
      </c>
      <c r="F31" s="87">
        <f t="shared" si="25"/>
        <v>0.33187500000000003</v>
      </c>
      <c r="G31" s="74">
        <f t="shared" si="26"/>
        <v>0</v>
      </c>
      <c r="H31" s="74">
        <f t="shared" si="19"/>
        <v>0</v>
      </c>
      <c r="I31" s="74">
        <f t="shared" si="27"/>
        <v>0</v>
      </c>
      <c r="J31" s="74">
        <f>+J30+I31-Q31</f>
        <v>0</v>
      </c>
      <c r="K31" s="74"/>
      <c r="L31" s="89">
        <f t="shared" si="20"/>
        <v>45641</v>
      </c>
      <c r="M31" s="89"/>
      <c r="N31" s="89"/>
      <c r="O31" s="135">
        <v>45641</v>
      </c>
      <c r="P31" s="90">
        <f t="shared" ref="P31:P36" si="33">MIN(A31-Q31,S30)</f>
        <v>0</v>
      </c>
      <c r="Q31" s="90">
        <f t="shared" ref="Q31:Q36" si="34">+(($P$7*S30)/$B$8)*$C31</f>
        <v>0</v>
      </c>
      <c r="R31" s="90">
        <f t="shared" si="30"/>
        <v>0</v>
      </c>
      <c r="S31" s="91">
        <f t="shared" si="7"/>
        <v>0</v>
      </c>
      <c r="U31" s="40">
        <f t="shared" si="31"/>
        <v>45641</v>
      </c>
      <c r="V31" s="74">
        <f t="shared" ref="V31:V36" si="35">+IF(Y30&gt;0,MIN(A31-W31,Y30),0)</f>
        <v>0</v>
      </c>
      <c r="W31" s="74">
        <f t="shared" ref="W31:W36" si="36">+((F31*Y30)/$B$8)*$C31</f>
        <v>0</v>
      </c>
      <c r="X31" s="74">
        <f t="shared" si="17"/>
        <v>0</v>
      </c>
      <c r="Y31" s="92">
        <f t="shared" si="9"/>
        <v>0</v>
      </c>
      <c r="AA31" s="93">
        <f t="shared" si="21"/>
        <v>0</v>
      </c>
      <c r="AB31" s="94">
        <f t="shared" si="22"/>
        <v>0</v>
      </c>
      <c r="AC31" s="71">
        <f t="shared" si="23"/>
        <v>206</v>
      </c>
      <c r="AD31" s="71">
        <f t="shared" si="24"/>
        <v>0</v>
      </c>
      <c r="AE31" s="72">
        <f t="shared" si="32"/>
        <v>0</v>
      </c>
    </row>
    <row r="32" spans="1:31" ht="15" hidden="1" thickBot="1" x14ac:dyDescent="0.4">
      <c r="A32" s="84"/>
      <c r="B32" s="64"/>
      <c r="C32" s="85">
        <v>30</v>
      </c>
      <c r="D32" s="107"/>
      <c r="E32" s="143">
        <f t="shared" si="11"/>
        <v>0.31187500000000001</v>
      </c>
      <c r="F32" s="87">
        <f t="shared" si="25"/>
        <v>0.33187500000000003</v>
      </c>
      <c r="G32" s="74">
        <f t="shared" si="26"/>
        <v>0</v>
      </c>
      <c r="H32" s="74">
        <f t="shared" si="19"/>
        <v>0</v>
      </c>
      <c r="I32" s="74">
        <f t="shared" si="27"/>
        <v>0</v>
      </c>
      <c r="J32" s="74"/>
      <c r="K32" s="74"/>
      <c r="L32" s="89">
        <f t="shared" si="20"/>
        <v>45672</v>
      </c>
      <c r="M32" s="89"/>
      <c r="N32" s="89"/>
      <c r="O32" s="135">
        <v>45672</v>
      </c>
      <c r="P32" s="90">
        <f t="shared" si="33"/>
        <v>0</v>
      </c>
      <c r="Q32" s="90">
        <f t="shared" si="34"/>
        <v>0</v>
      </c>
      <c r="R32" s="90">
        <f t="shared" si="30"/>
        <v>0</v>
      </c>
      <c r="S32" s="91">
        <f t="shared" si="7"/>
        <v>0</v>
      </c>
      <c r="U32" s="40">
        <f t="shared" si="31"/>
        <v>45672</v>
      </c>
      <c r="V32" s="74">
        <f t="shared" si="35"/>
        <v>0</v>
      </c>
      <c r="W32" s="74">
        <f t="shared" si="36"/>
        <v>0</v>
      </c>
      <c r="X32" s="74">
        <f t="shared" si="17"/>
        <v>0</v>
      </c>
      <c r="Y32" s="92">
        <f t="shared" si="9"/>
        <v>0</v>
      </c>
      <c r="AA32" s="93">
        <f t="shared" si="21"/>
        <v>0</v>
      </c>
      <c r="AB32" s="94">
        <f t="shared" si="22"/>
        <v>0</v>
      </c>
      <c r="AC32" s="71">
        <f t="shared" si="23"/>
        <v>237</v>
      </c>
      <c r="AD32" s="71">
        <f t="shared" si="24"/>
        <v>0</v>
      </c>
      <c r="AE32" s="72">
        <f t="shared" si="32"/>
        <v>0</v>
      </c>
    </row>
    <row r="33" spans="1:31" ht="15" hidden="1" thickBot="1" x14ac:dyDescent="0.4">
      <c r="A33" s="84"/>
      <c r="B33" s="64"/>
      <c r="C33" s="85">
        <v>30</v>
      </c>
      <c r="D33" s="107"/>
      <c r="E33" s="143">
        <f t="shared" si="11"/>
        <v>0.31187500000000001</v>
      </c>
      <c r="F33" s="87">
        <f t="shared" si="25"/>
        <v>0.33187500000000003</v>
      </c>
      <c r="G33" s="74">
        <f t="shared" si="26"/>
        <v>0</v>
      </c>
      <c r="H33" s="74">
        <f t="shared" si="19"/>
        <v>0</v>
      </c>
      <c r="I33" s="74">
        <f t="shared" si="27"/>
        <v>0</v>
      </c>
      <c r="J33" s="74"/>
      <c r="K33" s="74"/>
      <c r="L33" s="89">
        <f t="shared" si="20"/>
        <v>45703</v>
      </c>
      <c r="M33" s="89"/>
      <c r="N33" s="89"/>
      <c r="O33" s="135">
        <v>45703</v>
      </c>
      <c r="P33" s="90">
        <f t="shared" si="33"/>
        <v>0</v>
      </c>
      <c r="Q33" s="90">
        <f t="shared" si="34"/>
        <v>0</v>
      </c>
      <c r="R33" s="90">
        <f t="shared" si="30"/>
        <v>0</v>
      </c>
      <c r="S33" s="91">
        <f t="shared" si="7"/>
        <v>0</v>
      </c>
      <c r="U33" s="40">
        <f t="shared" si="31"/>
        <v>45703</v>
      </c>
      <c r="V33" s="74">
        <f t="shared" si="35"/>
        <v>0</v>
      </c>
      <c r="W33" s="74">
        <f t="shared" si="36"/>
        <v>0</v>
      </c>
      <c r="X33" s="74">
        <f t="shared" si="17"/>
        <v>0</v>
      </c>
      <c r="Y33" s="92">
        <f t="shared" si="9"/>
        <v>0</v>
      </c>
      <c r="AA33" s="93">
        <f t="shared" si="21"/>
        <v>0</v>
      </c>
      <c r="AB33" s="94">
        <f t="shared" si="22"/>
        <v>0</v>
      </c>
      <c r="AC33" s="71">
        <f t="shared" si="23"/>
        <v>268</v>
      </c>
      <c r="AD33" s="71">
        <f t="shared" si="24"/>
        <v>0</v>
      </c>
      <c r="AE33" s="72">
        <f t="shared" si="32"/>
        <v>0</v>
      </c>
    </row>
    <row r="34" spans="1:31" ht="15" hidden="1" thickBot="1" x14ac:dyDescent="0.4">
      <c r="A34" s="84"/>
      <c r="B34" s="64">
        <v>58613853</v>
      </c>
      <c r="C34" s="85">
        <v>30</v>
      </c>
      <c r="D34" s="107"/>
      <c r="E34" s="143">
        <f t="shared" si="11"/>
        <v>0.31187500000000001</v>
      </c>
      <c r="F34" s="87">
        <f t="shared" si="25"/>
        <v>0.33187500000000003</v>
      </c>
      <c r="G34" s="74">
        <f t="shared" si="26"/>
        <v>0</v>
      </c>
      <c r="H34" s="74">
        <f t="shared" si="19"/>
        <v>0</v>
      </c>
      <c r="I34" s="74">
        <f t="shared" si="27"/>
        <v>0</v>
      </c>
      <c r="J34" s="74"/>
      <c r="K34" s="74"/>
      <c r="L34" s="89">
        <f t="shared" si="20"/>
        <v>45397</v>
      </c>
      <c r="M34" s="89"/>
      <c r="N34" s="89"/>
      <c r="O34" s="135">
        <v>45397</v>
      </c>
      <c r="P34" s="90">
        <f t="shared" si="33"/>
        <v>0</v>
      </c>
      <c r="Q34" s="90">
        <f t="shared" si="34"/>
        <v>0</v>
      </c>
      <c r="R34" s="90">
        <f t="shared" si="30"/>
        <v>0</v>
      </c>
      <c r="S34" s="91">
        <f t="shared" si="7"/>
        <v>0</v>
      </c>
      <c r="U34" s="40">
        <f t="shared" si="31"/>
        <v>45397</v>
      </c>
      <c r="V34" s="74">
        <f t="shared" si="35"/>
        <v>0</v>
      </c>
      <c r="W34" s="74">
        <f t="shared" si="36"/>
        <v>0</v>
      </c>
      <c r="X34" s="74">
        <f t="shared" si="17"/>
        <v>0</v>
      </c>
      <c r="Y34" s="92">
        <f t="shared" si="9"/>
        <v>0</v>
      </c>
      <c r="AA34" s="93">
        <f t="shared" si="21"/>
        <v>0</v>
      </c>
      <c r="AB34" s="94">
        <f t="shared" si="22"/>
        <v>0</v>
      </c>
      <c r="AC34" s="71">
        <f t="shared" si="23"/>
        <v>-38</v>
      </c>
      <c r="AD34" s="71">
        <f t="shared" si="24"/>
        <v>0</v>
      </c>
      <c r="AE34" s="72">
        <f t="shared" si="32"/>
        <v>0</v>
      </c>
    </row>
    <row r="35" spans="1:31" ht="15" hidden="1" thickBot="1" x14ac:dyDescent="0.4">
      <c r="A35" s="84"/>
      <c r="B35" s="64"/>
      <c r="C35" s="85">
        <v>30</v>
      </c>
      <c r="D35" s="107"/>
      <c r="E35" s="143">
        <f t="shared" si="11"/>
        <v>0.31187500000000001</v>
      </c>
      <c r="F35" s="87">
        <f t="shared" si="25"/>
        <v>0.33187500000000003</v>
      </c>
      <c r="G35" s="74">
        <f t="shared" si="26"/>
        <v>0</v>
      </c>
      <c r="H35" s="74">
        <f t="shared" si="19"/>
        <v>0</v>
      </c>
      <c r="I35" s="74">
        <f t="shared" si="27"/>
        <v>0</v>
      </c>
      <c r="J35" s="74"/>
      <c r="K35" s="74"/>
      <c r="L35" s="89">
        <f t="shared" si="20"/>
        <v>45427</v>
      </c>
      <c r="M35" s="89"/>
      <c r="N35" s="89"/>
      <c r="O35" s="135">
        <v>45427</v>
      </c>
      <c r="P35" s="90">
        <f t="shared" si="33"/>
        <v>0</v>
      </c>
      <c r="Q35" s="90">
        <f t="shared" si="34"/>
        <v>0</v>
      </c>
      <c r="R35" s="90">
        <f t="shared" si="30"/>
        <v>0</v>
      </c>
      <c r="S35" s="91">
        <f t="shared" si="7"/>
        <v>0</v>
      </c>
      <c r="U35" s="40">
        <f t="shared" si="31"/>
        <v>45427</v>
      </c>
      <c r="V35" s="74">
        <f t="shared" si="35"/>
        <v>0</v>
      </c>
      <c r="W35" s="74">
        <f t="shared" si="36"/>
        <v>0</v>
      </c>
      <c r="X35" s="74">
        <f t="shared" si="17"/>
        <v>0</v>
      </c>
      <c r="Y35" s="92">
        <f t="shared" si="9"/>
        <v>0</v>
      </c>
      <c r="AA35" s="93">
        <f t="shared" si="21"/>
        <v>0</v>
      </c>
      <c r="AB35" s="94">
        <f t="shared" si="22"/>
        <v>0</v>
      </c>
      <c r="AC35" s="71">
        <f t="shared" si="23"/>
        <v>-8</v>
      </c>
      <c r="AD35" s="71">
        <f t="shared" si="24"/>
        <v>0</v>
      </c>
      <c r="AE35" s="72">
        <f t="shared" si="32"/>
        <v>0</v>
      </c>
    </row>
    <row r="36" spans="1:31" ht="15" hidden="1" thickBot="1" x14ac:dyDescent="0.4">
      <c r="A36" s="84"/>
      <c r="B36" s="64"/>
      <c r="C36" s="85">
        <v>30</v>
      </c>
      <c r="D36" s="107"/>
      <c r="E36" s="143">
        <f t="shared" si="11"/>
        <v>0.31187500000000001</v>
      </c>
      <c r="F36" s="87">
        <f t="shared" si="25"/>
        <v>0.33187500000000003</v>
      </c>
      <c r="G36" s="74">
        <f t="shared" si="26"/>
        <v>0</v>
      </c>
      <c r="H36" s="74">
        <f t="shared" si="19"/>
        <v>0</v>
      </c>
      <c r="I36" s="74">
        <f t="shared" si="27"/>
        <v>0</v>
      </c>
      <c r="J36" s="74"/>
      <c r="K36" s="74"/>
      <c r="L36" s="89">
        <f t="shared" si="20"/>
        <v>45458</v>
      </c>
      <c r="M36" s="89"/>
      <c r="N36" s="89"/>
      <c r="O36" s="135">
        <v>45458</v>
      </c>
      <c r="P36" s="90">
        <f t="shared" si="33"/>
        <v>0</v>
      </c>
      <c r="Q36" s="90">
        <f t="shared" si="34"/>
        <v>0</v>
      </c>
      <c r="R36" s="90">
        <f t="shared" si="30"/>
        <v>0</v>
      </c>
      <c r="S36" s="91">
        <f t="shared" si="7"/>
        <v>0</v>
      </c>
      <c r="U36" s="40">
        <f t="shared" si="31"/>
        <v>45458</v>
      </c>
      <c r="V36" s="74">
        <f t="shared" si="35"/>
        <v>0</v>
      </c>
      <c r="W36" s="74">
        <f t="shared" si="36"/>
        <v>0</v>
      </c>
      <c r="X36" s="74">
        <f t="shared" si="17"/>
        <v>0</v>
      </c>
      <c r="Y36" s="92">
        <f t="shared" si="9"/>
        <v>0</v>
      </c>
      <c r="AA36" s="93">
        <f t="shared" si="21"/>
        <v>0</v>
      </c>
      <c r="AB36" s="94">
        <f t="shared" si="22"/>
        <v>0</v>
      </c>
      <c r="AC36" s="71">
        <f t="shared" si="23"/>
        <v>23</v>
      </c>
      <c r="AD36" s="71">
        <f t="shared" si="24"/>
        <v>0</v>
      </c>
      <c r="AE36" s="72">
        <f t="shared" si="32"/>
        <v>0</v>
      </c>
    </row>
    <row r="37" spans="1:31" ht="15" thickBot="1" x14ac:dyDescent="0.4">
      <c r="A37" s="84"/>
      <c r="B37" s="64"/>
      <c r="C37" s="85"/>
      <c r="D37" s="85"/>
      <c r="E37" s="143">
        <f t="shared" si="11"/>
        <v>0.31187500000000001</v>
      </c>
      <c r="F37" s="87">
        <f t="shared" si="25"/>
        <v>0.33187500000000003</v>
      </c>
      <c r="G37" s="74">
        <f t="shared" si="26"/>
        <v>0</v>
      </c>
      <c r="H37" s="74"/>
      <c r="I37" s="74"/>
      <c r="J37" s="74"/>
      <c r="K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0.1481927812099457</v>
      </c>
      <c r="AC37" s="101"/>
      <c r="AD37" s="102">
        <f>SUM(AD19:AD36)</f>
        <v>5213658163.4582653</v>
      </c>
      <c r="AE37" s="103"/>
    </row>
    <row r="38" spans="1:31" ht="15" thickBot="1" x14ac:dyDescent="0.4">
      <c r="A38" s="64"/>
      <c r="B38" s="64"/>
      <c r="C38" s="85"/>
      <c r="D38" s="85"/>
      <c r="E38" s="143">
        <f t="shared" si="11"/>
        <v>0.31187500000000001</v>
      </c>
      <c r="F38" s="87">
        <f t="shared" si="25"/>
        <v>0.33187500000000003</v>
      </c>
      <c r="G38" s="74">
        <f>+((F38*Y38)/$B$8)*$C38</f>
        <v>0</v>
      </c>
      <c r="H38" s="74"/>
      <c r="I38" s="74"/>
      <c r="J38" s="74"/>
      <c r="K38" s="74"/>
      <c r="O38" s="95" t="s">
        <v>29</v>
      </c>
      <c r="P38" s="96">
        <f>SUM(P20:P36)</f>
        <v>5213658169</v>
      </c>
      <c r="Q38" s="96">
        <f>+SUM(Q20:Q36)</f>
        <v>475268053.0092783</v>
      </c>
      <c r="R38" s="96">
        <f>+SUM(R20:R36)</f>
        <v>5688926222.0092773</v>
      </c>
      <c r="S38" s="97"/>
      <c r="U38" s="98" t="s">
        <v>29</v>
      </c>
      <c r="V38" s="96">
        <f>+SUM(V20:V36)</f>
        <v>5213658169</v>
      </c>
      <c r="W38" s="96">
        <f>+SUM(W20:W36)</f>
        <v>1061969442.3218919</v>
      </c>
      <c r="X38" s="96">
        <f>+SUM(X20:X36)</f>
        <v>6275627611.3218918</v>
      </c>
      <c r="Y38" s="97"/>
      <c r="AA38" s="104"/>
      <c r="AB38" s="104"/>
    </row>
    <row r="39" spans="1:31" x14ac:dyDescent="0.35">
      <c r="A39" s="84"/>
      <c r="B39" s="64"/>
      <c r="C39" s="105"/>
      <c r="D39" s="105"/>
      <c r="E39" s="86"/>
      <c r="F39" s="87"/>
      <c r="G39" s="74"/>
      <c r="H39" s="74"/>
      <c r="I39" s="74"/>
      <c r="J39" s="74"/>
      <c r="K39" s="74"/>
      <c r="U39" s="64"/>
      <c r="V39" s="74"/>
      <c r="W39" s="74"/>
      <c r="X39" s="74"/>
      <c r="Y39" s="88"/>
      <c r="AA39" s="104"/>
      <c r="AD39" s="88"/>
    </row>
    <row r="40" spans="1:31" ht="15" customHeight="1" x14ac:dyDescent="0.35">
      <c r="A40" s="106">
        <f>+SUM(A20:A37)</f>
        <v>6934846061</v>
      </c>
      <c r="G40" s="106">
        <f>+SUM(G20:G39)</f>
        <v>1061969442.3218919</v>
      </c>
    </row>
    <row r="41" spans="1:31" x14ac:dyDescent="0.35">
      <c r="O41" s="150" t="s">
        <v>40</v>
      </c>
      <c r="P41" s="150"/>
      <c r="Q41" s="150"/>
      <c r="R41" s="150"/>
      <c r="S41" s="150"/>
      <c r="T41" s="150"/>
      <c r="U41" s="150"/>
      <c r="V41" s="150"/>
      <c r="W41" s="150"/>
      <c r="X41" s="150"/>
      <c r="Y41" s="150"/>
    </row>
    <row r="42" spans="1:31" x14ac:dyDescent="0.35"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</row>
    <row r="43" spans="1:31" x14ac:dyDescent="0.35">
      <c r="A43" s="16">
        <v>544648974</v>
      </c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</row>
    <row r="49" spans="2:4" ht="16" x14ac:dyDescent="0.5">
      <c r="C49" s="141"/>
    </row>
    <row r="50" spans="2:4" ht="16" x14ac:dyDescent="0.5">
      <c r="B50" s="140">
        <v>44837</v>
      </c>
      <c r="C50" s="141">
        <v>69.8125</v>
      </c>
      <c r="D50" s="139"/>
    </row>
    <row r="51" spans="2:4" ht="16" x14ac:dyDescent="0.5">
      <c r="B51" s="140">
        <v>44838</v>
      </c>
      <c r="C51" s="141">
        <v>68.75</v>
      </c>
      <c r="D51" s="139"/>
    </row>
    <row r="52" spans="2:4" ht="16" x14ac:dyDescent="0.5">
      <c r="B52" s="140">
        <v>44839</v>
      </c>
      <c r="C52" s="141">
        <v>69.5</v>
      </c>
      <c r="D52" s="139"/>
    </row>
    <row r="53" spans="2:4" ht="16" x14ac:dyDescent="0.5">
      <c r="B53" s="140">
        <v>44840</v>
      </c>
      <c r="C53" s="141">
        <v>68.625</v>
      </c>
      <c r="D53" s="139"/>
    </row>
    <row r="54" spans="2:4" ht="16" x14ac:dyDescent="0.5">
      <c r="B54" s="140">
        <v>44845</v>
      </c>
      <c r="C54" s="141">
        <v>69.8125</v>
      </c>
      <c r="D54" s="139"/>
    </row>
    <row r="55" spans="2:4" ht="16" x14ac:dyDescent="0.5">
      <c r="B55" s="140">
        <v>44846</v>
      </c>
      <c r="C55" s="141">
        <v>69.5625</v>
      </c>
      <c r="D55" s="139"/>
    </row>
    <row r="56" spans="2:4" ht="16" x14ac:dyDescent="0.5">
      <c r="B56" s="140">
        <v>44847</v>
      </c>
      <c r="C56" s="141">
        <v>69.375</v>
      </c>
      <c r="D56" s="139"/>
    </row>
    <row r="57" spans="2:4" ht="16" x14ac:dyDescent="0.5">
      <c r="B57" s="140">
        <v>44848</v>
      </c>
      <c r="C57" s="141">
        <v>68.75</v>
      </c>
      <c r="D57" s="139"/>
    </row>
    <row r="58" spans="2:4" ht="16" x14ac:dyDescent="0.5">
      <c r="B58" s="140">
        <v>44851</v>
      </c>
      <c r="C58" s="141">
        <v>69.4375</v>
      </c>
      <c r="D58" s="139"/>
    </row>
    <row r="59" spans="2:4" ht="16" x14ac:dyDescent="0.5">
      <c r="B59" s="140">
        <v>44852</v>
      </c>
      <c r="C59" s="141">
        <v>68.25</v>
      </c>
      <c r="D59" s="139"/>
    </row>
    <row r="60" spans="2:4" ht="16" x14ac:dyDescent="0.5">
      <c r="B60" s="140">
        <v>44853</v>
      </c>
      <c r="C60" s="141">
        <v>68.6875</v>
      </c>
      <c r="D60" s="139"/>
    </row>
    <row r="61" spans="2:4" ht="16" x14ac:dyDescent="0.5">
      <c r="B61" s="140">
        <v>44854</v>
      </c>
      <c r="C61" s="141">
        <v>68.625</v>
      </c>
      <c r="D61" s="139"/>
    </row>
    <row r="62" spans="2:4" ht="16" x14ac:dyDescent="0.5">
      <c r="B62" s="140">
        <v>44855</v>
      </c>
      <c r="C62" s="141">
        <v>69.125</v>
      </c>
      <c r="D62" s="139"/>
    </row>
    <row r="63" spans="2:4" ht="16" x14ac:dyDescent="0.5">
      <c r="B63" s="140">
        <v>44858</v>
      </c>
      <c r="C63" s="141">
        <v>69.125</v>
      </c>
      <c r="D63" s="139"/>
    </row>
    <row r="64" spans="2:4" ht="16" x14ac:dyDescent="0.5">
      <c r="B64" s="140">
        <v>44859</v>
      </c>
      <c r="C64" s="141">
        <v>68.25</v>
      </c>
      <c r="D64" s="139"/>
    </row>
    <row r="65" spans="2:4" ht="16" x14ac:dyDescent="0.5">
      <c r="B65" s="140">
        <v>44860</v>
      </c>
      <c r="C65" s="141">
        <v>69.25</v>
      </c>
      <c r="D65" s="139"/>
    </row>
    <row r="66" spans="2:4" ht="16" x14ac:dyDescent="0.5">
      <c r="B66" s="140">
        <v>44861</v>
      </c>
      <c r="C66" s="141">
        <v>68.9375</v>
      </c>
      <c r="D66" s="139"/>
    </row>
    <row r="67" spans="2:4" ht="15" customHeight="1" x14ac:dyDescent="0.5">
      <c r="B67" s="140">
        <v>44862</v>
      </c>
      <c r="C67" s="141">
        <v>68.8125</v>
      </c>
      <c r="D67" s="146"/>
    </row>
    <row r="68" spans="2:4" ht="15" customHeight="1" x14ac:dyDescent="0.5">
      <c r="B68" s="140">
        <v>44865</v>
      </c>
      <c r="C68" s="141">
        <v>69.5</v>
      </c>
      <c r="D68" s="146"/>
    </row>
    <row r="69" spans="2:4" ht="16" x14ac:dyDescent="0.5">
      <c r="B69" s="140"/>
      <c r="C69" s="141"/>
      <c r="D69" s="146"/>
    </row>
    <row r="70" spans="2:4" ht="16" x14ac:dyDescent="0.5">
      <c r="B70" s="140"/>
      <c r="C70" s="141"/>
      <c r="D70" s="146"/>
    </row>
    <row r="71" spans="2:4" ht="16" x14ac:dyDescent="0.5">
      <c r="B71" s="140"/>
      <c r="C71" s="141"/>
      <c r="D71" s="146"/>
    </row>
    <row r="72" spans="2:4" ht="16" x14ac:dyDescent="0.5">
      <c r="B72" s="140"/>
      <c r="C72" s="141"/>
      <c r="D72" s="146"/>
    </row>
    <row r="73" spans="2:4" ht="16" x14ac:dyDescent="0.5">
      <c r="B73" s="140"/>
      <c r="C73" s="141"/>
      <c r="D73" s="146"/>
    </row>
    <row r="74" spans="2:4" ht="16" x14ac:dyDescent="0.5">
      <c r="C74" s="141"/>
      <c r="D74" s="147"/>
    </row>
    <row r="75" spans="2:4" ht="16.5" thickBot="1" x14ac:dyDescent="0.55000000000000004">
      <c r="C75" s="141"/>
    </row>
    <row r="76" spans="2:4" ht="16.5" thickBot="1" x14ac:dyDescent="0.55000000000000004">
      <c r="C76" s="141"/>
      <c r="D76" s="142">
        <f>+ROUND((AVERAGE(C50:C68)/100),6)</f>
        <v>0.69062500000000004</v>
      </c>
    </row>
  </sheetData>
  <sheetProtection algorithmName="SHA-512" hashValue="8lRYrLovL7G8R59N5dvp1cXzf9e8CUNZe/GaE9MKJ3rr8PJxZFoHhhrSaChZEvieoJEHOCuv3XzdfzHK+dVfZQ==" saltValue="o+IP7xfSRMRN56U+Y4puzg==" spinCount="100000" sheet="1" selectLockedCells="1"/>
  <mergeCells count="7">
    <mergeCell ref="O41:Y43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2018-11-09T18:31:28Z</dcterms:created>
  <dcterms:modified xsi:type="dcterms:W3CDTF">2024-05-21T13:02:58Z</dcterms:modified>
</cp:coreProperties>
</file>