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V\"/>
    </mc:Choice>
  </mc:AlternateContent>
  <xr:revisionPtr revIDLastSave="0" documentId="13_ncr:1_{FEC46870-DBEA-438E-AE28-A14B8EEE5F60}" xr6:coauthVersionLast="47" xr6:coauthVersionMax="47" xr10:uidLastSave="{00000000-0000-0000-0000-000000000000}"/>
  <bookViews>
    <workbookView xWindow="-120" yWindow="-120" windowWidth="20730" windowHeight="1116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B29" i="1"/>
  <c r="Q11" i="1" l="1"/>
  <c r="P19" i="1" l="1"/>
  <c r="V19" i="1" l="1"/>
  <c r="Z19" i="1"/>
  <c r="Z20" i="1" s="1"/>
  <c r="Z21" i="1" s="1"/>
  <c r="F21" i="1"/>
  <c r="G21" i="1" s="1"/>
  <c r="F20" i="1"/>
  <c r="G20" i="1" s="1"/>
  <c r="V29" i="1"/>
  <c r="M29" i="1" s="1"/>
  <c r="V30" i="1"/>
  <c r="M30" i="1" s="1"/>
  <c r="E76" i="1"/>
  <c r="T19" i="1"/>
  <c r="V20" i="1"/>
  <c r="M20" i="1" s="1"/>
  <c r="AD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V32" i="1"/>
  <c r="M32" i="1" s="1"/>
  <c r="V33" i="1"/>
  <c r="M33" i="1" s="1"/>
  <c r="V34" i="1"/>
  <c r="M34" i="1" s="1"/>
  <c r="V35" i="1"/>
  <c r="M35" i="1" s="1"/>
  <c r="V36" i="1"/>
  <c r="M36" i="1" s="1"/>
  <c r="V21" i="1"/>
  <c r="M21" i="1" s="1"/>
  <c r="V22" i="1"/>
  <c r="M22" i="1" s="1"/>
  <c r="V23" i="1"/>
  <c r="M23" i="1" s="1"/>
  <c r="V24" i="1"/>
  <c r="M24" i="1" s="1"/>
  <c r="V25" i="1"/>
  <c r="M25" i="1" s="1"/>
  <c r="V26" i="1"/>
  <c r="M26" i="1" s="1"/>
  <c r="V27" i="1"/>
  <c r="M27" i="1" s="1"/>
  <c r="V28" i="1"/>
  <c r="M28" i="1" s="1"/>
  <c r="V31" i="1"/>
  <c r="M31" i="1" s="1"/>
  <c r="AD36" i="1"/>
  <c r="AD27" i="1"/>
  <c r="H21" i="1" l="1"/>
  <c r="R20" i="1"/>
  <c r="J20" i="1"/>
  <c r="H22" i="1"/>
  <c r="H20" i="1"/>
  <c r="X20" i="1"/>
  <c r="Y20" i="1" s="1"/>
  <c r="AB20" i="1" s="1"/>
  <c r="B40" i="1"/>
  <c r="T20" i="1"/>
  <c r="J21" i="1" s="1"/>
  <c r="AD32" i="1"/>
  <c r="AD30" i="1"/>
  <c r="AD35" i="1"/>
  <c r="AD29" i="1"/>
  <c r="AD20" i="1"/>
  <c r="AD23" i="1"/>
  <c r="AD31" i="1"/>
  <c r="AD28" i="1"/>
  <c r="AD22" i="1"/>
  <c r="AD21" i="1"/>
  <c r="AD24" i="1"/>
  <c r="AD19" i="1"/>
  <c r="AD34" i="1"/>
  <c r="AD25" i="1"/>
  <c r="AD33" i="1"/>
  <c r="Z22" i="1"/>
  <c r="Z23" i="1" s="1"/>
  <c r="Z24" i="1" s="1"/>
  <c r="X25" i="1" s="1"/>
  <c r="Y25" i="1" s="1"/>
  <c r="AB25" i="1" s="1"/>
  <c r="X22" i="1"/>
  <c r="Y22" i="1" s="1"/>
  <c r="AB22" i="1" s="1"/>
  <c r="AC19" i="1"/>
  <c r="X21" i="1"/>
  <c r="H25" i="1" l="1"/>
  <c r="T21" i="1"/>
  <c r="J22" i="1" s="1"/>
  <c r="H24" i="1"/>
  <c r="H23" i="1"/>
  <c r="R21" i="1"/>
  <c r="S21" i="1" s="1"/>
  <c r="AC21" i="1" s="1"/>
  <c r="X23" i="1"/>
  <c r="Y23" i="1" s="1"/>
  <c r="AB23" i="1" s="1"/>
  <c r="I20" i="1"/>
  <c r="I21" i="1" s="1"/>
  <c r="I22" i="1" s="1"/>
  <c r="X24" i="1"/>
  <c r="Y24" i="1" s="1"/>
  <c r="AB24" i="1" s="1"/>
  <c r="S20" i="1"/>
  <c r="K20" i="1"/>
  <c r="Y21" i="1"/>
  <c r="Z25" i="1"/>
  <c r="H26" i="1" s="1"/>
  <c r="R22" i="1" l="1"/>
  <c r="S22" i="1" s="1"/>
  <c r="AC22" i="1" s="1"/>
  <c r="T22" i="1"/>
  <c r="K21" i="1"/>
  <c r="K22" i="1" s="1"/>
  <c r="R23" i="1"/>
  <c r="S23" i="1" s="1"/>
  <c r="AC23" i="1" s="1"/>
  <c r="I23" i="1"/>
  <c r="I24" i="1" s="1"/>
  <c r="I25" i="1" s="1"/>
  <c r="X26" i="1"/>
  <c r="W26" i="1" s="1"/>
  <c r="AC20" i="1"/>
  <c r="AB21" i="1"/>
  <c r="J23" i="1" l="1"/>
  <c r="K23" i="1" s="1"/>
  <c r="T23" i="1"/>
  <c r="Y26" i="1"/>
  <c r="Z26" i="1"/>
  <c r="H27" i="1" s="1"/>
  <c r="I26" i="1"/>
  <c r="R24" i="1" l="1"/>
  <c r="S24" i="1" s="1"/>
  <c r="AC24" i="1" s="1"/>
  <c r="J24" i="1"/>
  <c r="K24" i="1" s="1"/>
  <c r="T24" i="1"/>
  <c r="X27" i="1"/>
  <c r="W27" i="1" s="1"/>
  <c r="AB26" i="1"/>
  <c r="R25" i="1" l="1"/>
  <c r="S25" i="1" s="1"/>
  <c r="AC25" i="1" s="1"/>
  <c r="T25" i="1"/>
  <c r="J25" i="1"/>
  <c r="K25" i="1" s="1"/>
  <c r="I27" i="1"/>
  <c r="Y27" i="1"/>
  <c r="Z27" i="1"/>
  <c r="H28" i="1" s="1"/>
  <c r="R26" i="1" l="1"/>
  <c r="Q26" i="1" s="1"/>
  <c r="J26" i="1"/>
  <c r="K26" i="1" s="1"/>
  <c r="X28" i="1"/>
  <c r="W28" i="1" s="1"/>
  <c r="AB27" i="1"/>
  <c r="S26" i="1" l="1"/>
  <c r="AC26" i="1" s="1"/>
  <c r="T26" i="1"/>
  <c r="I28" i="1"/>
  <c r="R27" i="1" l="1"/>
  <c r="Q27" i="1" s="1"/>
  <c r="J27" i="1"/>
  <c r="K27" i="1" s="1"/>
  <c r="Z28" i="1"/>
  <c r="H29" i="1" s="1"/>
  <c r="Y28" i="1"/>
  <c r="S27" i="1" l="1"/>
  <c r="AC27" i="1" s="1"/>
  <c r="T27" i="1"/>
  <c r="X29" i="1"/>
  <c r="W29" i="1" s="1"/>
  <c r="Z29" i="1" s="1"/>
  <c r="H30" i="1" s="1"/>
  <c r="AB28" i="1"/>
  <c r="R28" i="1" l="1"/>
  <c r="Q28" i="1" s="1"/>
  <c r="J28" i="1"/>
  <c r="K28" i="1" s="1"/>
  <c r="X30" i="1"/>
  <c r="W30" i="1" s="1"/>
  <c r="Z30" i="1" s="1"/>
  <c r="Y29" i="1"/>
  <c r="C6" i="1" s="1"/>
  <c r="I29" i="1"/>
  <c r="S28" i="1" l="1"/>
  <c r="AC28" i="1" s="1"/>
  <c r="T28" i="1"/>
  <c r="I30" i="1"/>
  <c r="H31" i="1"/>
  <c r="X31" i="1"/>
  <c r="AB29" i="1"/>
  <c r="Y30" i="1"/>
  <c r="AB30" i="1" s="1"/>
  <c r="J29" i="1" l="1"/>
  <c r="R29" i="1"/>
  <c r="Q29" i="1" s="1"/>
  <c r="W31" i="1"/>
  <c r="Z31" i="1" s="1"/>
  <c r="X32" i="1" s="1"/>
  <c r="W32" i="1" s="1"/>
  <c r="Z32" i="1" s="1"/>
  <c r="I31" i="1"/>
  <c r="T29" i="1" l="1"/>
  <c r="S29" i="1"/>
  <c r="K29" i="1"/>
  <c r="H32" i="1"/>
  <c r="I32" i="1" s="1"/>
  <c r="Y31" i="1"/>
  <c r="AB31" i="1" s="1"/>
  <c r="X33" i="1"/>
  <c r="W33" i="1" s="1"/>
  <c r="Z33" i="1" s="1"/>
  <c r="H33" i="1"/>
  <c r="Y32" i="1"/>
  <c r="AB32" i="1" s="1"/>
  <c r="J30" i="1" l="1"/>
  <c r="R30" i="1"/>
  <c r="Q30" i="1" s="1"/>
  <c r="T30" i="1" s="1"/>
  <c r="C5" i="1"/>
  <c r="W7" i="1" s="1"/>
  <c r="AB19" i="1" s="1"/>
  <c r="X12" i="1" s="1"/>
  <c r="X13" i="1" s="1"/>
  <c r="X14" i="1" s="1"/>
  <c r="AC29" i="1"/>
  <c r="I33" i="1"/>
  <c r="Y33" i="1"/>
  <c r="AB33" i="1" s="1"/>
  <c r="X34" i="1"/>
  <c r="W34" i="1" s="1"/>
  <c r="Z34" i="1" s="1"/>
  <c r="H34" i="1"/>
  <c r="K30" i="1" l="1"/>
  <c r="S30" i="1"/>
  <c r="AC30" i="1" s="1"/>
  <c r="Q38" i="1"/>
  <c r="J31" i="1"/>
  <c r="K31" i="1" s="1"/>
  <c r="I34" i="1"/>
  <c r="Y34" i="1"/>
  <c r="AB34" i="1" s="1"/>
  <c r="X35" i="1"/>
  <c r="W35" i="1" s="1"/>
  <c r="Z35" i="1" s="1"/>
  <c r="H35" i="1"/>
  <c r="I35" i="1" l="1"/>
  <c r="X36" i="1"/>
  <c r="W36" i="1" s="1"/>
  <c r="W38" i="1" s="1"/>
  <c r="H36" i="1"/>
  <c r="Y35" i="1"/>
  <c r="AB35" i="1" s="1"/>
  <c r="AC31" i="1" l="1"/>
  <c r="I36" i="1"/>
  <c r="Z36" i="1"/>
  <c r="H37" i="1" s="1"/>
  <c r="H40" i="1" s="1"/>
  <c r="Y36" i="1"/>
  <c r="X38" i="1"/>
  <c r="J32" i="1" l="1"/>
  <c r="K32" i="1" s="1"/>
  <c r="AB36" i="1"/>
  <c r="Y38" i="1"/>
  <c r="AC33" i="1" l="1"/>
  <c r="AC32" i="1" l="1"/>
  <c r="J33" i="1"/>
  <c r="K33" i="1" s="1"/>
  <c r="J34" i="1" l="1"/>
  <c r="K34" i="1" s="1"/>
  <c r="AC34" i="1" l="1"/>
  <c r="J35" i="1" l="1"/>
  <c r="K35" i="1" s="1"/>
  <c r="AC35" i="1" l="1"/>
  <c r="J36" i="1" l="1"/>
  <c r="K36" i="1" s="1"/>
  <c r="R38" i="1"/>
  <c r="S38" i="1" l="1"/>
  <c r="AC36" i="1" l="1"/>
  <c r="AC37" i="1" s="1"/>
  <c r="AE21" i="1" l="1"/>
  <c r="AE24" i="1"/>
  <c r="AE27" i="1"/>
  <c r="AE31" i="1"/>
  <c r="AE35" i="1"/>
  <c r="AE23" i="1"/>
  <c r="AE26" i="1"/>
  <c r="AE30" i="1"/>
  <c r="AE34" i="1"/>
  <c r="AE36" i="1"/>
  <c r="AE22" i="1"/>
  <c r="AE20" i="1"/>
  <c r="AE29" i="1"/>
  <c r="AE33" i="1"/>
  <c r="AE19" i="1"/>
  <c r="AE25" i="1"/>
  <c r="AE28" i="1"/>
  <c r="AE32" i="1"/>
  <c r="AE37" i="1" l="1"/>
  <c r="AF31" i="1" s="1"/>
  <c r="AF25" i="1" l="1"/>
  <c r="AF20" i="1"/>
  <c r="AF28" i="1"/>
  <c r="AF22" i="1"/>
  <c r="AF27" i="1"/>
  <c r="AF29" i="1"/>
  <c r="AF21" i="1"/>
  <c r="AF26" i="1"/>
  <c r="AF24" i="1"/>
  <c r="AF19" i="1"/>
  <c r="AF36" i="1"/>
  <c r="AF34" i="1"/>
  <c r="AF30" i="1"/>
  <c r="AF33" i="1"/>
  <c r="AF35" i="1"/>
  <c r="AF23" i="1"/>
  <c r="AF32" i="1"/>
  <c r="Q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<sst xmlns="http://schemas.openxmlformats.org/spreadsheetml/2006/main" count="55" uniqueCount="42">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</sst>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9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1079498</xdr:colOff>
      <xdr:row>0</xdr:row>
      <xdr:rowOff>54429</xdr:rowOff>
    </xdr:from>
    <xdr:to>
      <xdr:col>26</xdr:col>
      <xdr:colOff>17444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8355" y="54429"/>
          <a:ext cx="1405375" cy="948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G76"/>
  <sheetViews>
    <sheetView showGridLines="0" tabSelected="1" topLeftCell="O1" zoomScale="80" zoomScaleNormal="80" workbookViewId="0">
      <selection activeCell="W6" sqref="W6"/>
    </sheetView>
  </sheetViews>
  <sheetFormatPr baseColWidth="10" defaultColWidth="0" defaultRowHeight="15" x14ac:dyDescent="0.25"/>
  <cols>
    <col min="1" max="1" width="7" style="16" hidden="1" customWidth="1"/>
    <col min="2" max="2" width="23" style="16" hidden="1" customWidth="1"/>
    <col min="3" max="3" width="17.85546875" style="16" hidden="1" customWidth="1"/>
    <col min="4" max="4" width="22.140625" style="16" hidden="1" customWidth="1"/>
    <col min="5" max="5" width="19.42578125" style="16" hidden="1" customWidth="1"/>
    <col min="6" max="6" width="39.7109375" style="16" hidden="1" customWidth="1"/>
    <col min="7" max="7" width="21.5703125" style="16" hidden="1" customWidth="1"/>
    <col min="8" max="8" width="16.28515625" style="16" hidden="1" customWidth="1"/>
    <col min="9" max="9" width="17.42578125" style="16" hidden="1" customWidth="1"/>
    <col min="10" max="10" width="15.7109375" style="16" hidden="1" customWidth="1"/>
    <col min="11" max="11" width="17.42578125" style="16" hidden="1" customWidth="1"/>
    <col min="12" max="12" width="7" style="16" hidden="1" customWidth="1"/>
    <col min="13" max="13" width="36.42578125" style="16" hidden="1" customWidth="1"/>
    <col min="14" max="14" width="9.5703125" style="16" hidden="1" customWidth="1"/>
    <col min="15" max="15" width="6.7109375" style="16" customWidth="1"/>
    <col min="16" max="16" width="17.5703125" style="16" customWidth="1"/>
    <col min="17" max="17" width="19.7109375" style="16" customWidth="1"/>
    <col min="18" max="20" width="17.5703125" style="16" customWidth="1"/>
    <col min="21" max="21" width="17.140625" style="16" customWidth="1"/>
    <col min="22" max="26" width="17.5703125" style="16" customWidth="1"/>
    <col min="27" max="27" width="11.85546875" style="16" customWidth="1"/>
    <col min="28" max="28" width="19.5703125" style="59" hidden="1" customWidth="1"/>
    <col min="29" max="29" width="18.140625" style="59" hidden="1" customWidth="1"/>
    <col min="30" max="30" width="9.7109375" style="16" hidden="1" customWidth="1"/>
    <col min="31" max="31" width="17.28515625" style="16" hidden="1" customWidth="1"/>
    <col min="32" max="32" width="19.42578125" style="16" hidden="1" customWidth="1"/>
    <col min="33" max="33" width="0" style="16" hidden="1" customWidth="1"/>
    <col min="34" max="16384" width="18.85546875" style="16" hidden="1"/>
  </cols>
  <sheetData>
    <row r="1" spans="2:30" s="1" customFormat="1" ht="34.5" customHeight="1" x14ac:dyDescent="0.3">
      <c r="P1" s="2" t="s">
        <v>41</v>
      </c>
      <c r="T1" s="3"/>
      <c r="U1" s="4"/>
      <c r="AB1" s="5"/>
      <c r="AC1" s="5"/>
    </row>
    <row r="2" spans="2:30" s="1" customFormat="1" ht="24.75" x14ac:dyDescent="0.3">
      <c r="P2" s="6" t="s">
        <v>39</v>
      </c>
      <c r="Q2" s="7"/>
      <c r="R2" s="8"/>
      <c r="S2" s="7"/>
      <c r="T2" s="9"/>
      <c r="U2" s="10"/>
      <c r="V2" s="11"/>
      <c r="W2"/>
      <c r="X2" s="12"/>
      <c r="Y2" s="13"/>
      <c r="Z2" s="14"/>
      <c r="AB2" s="15"/>
      <c r="AC2" s="15"/>
      <c r="AD2" s="11"/>
    </row>
    <row r="3" spans="2:30" s="1" customFormat="1" ht="18.75" customHeight="1" thickBot="1" x14ac:dyDescent="0.35">
      <c r="P3" s="2"/>
      <c r="Q3" s="10"/>
      <c r="R3" s="10"/>
      <c r="S3" s="10"/>
      <c r="T3" s="9"/>
      <c r="U3" s="10"/>
      <c r="V3" s="12"/>
      <c r="W3" s="13"/>
      <c r="X3" s="14"/>
      <c r="Y3" s="16"/>
      <c r="Z3" s="12"/>
      <c r="AB3" s="13"/>
      <c r="AC3" s="13"/>
      <c r="AD3" s="15"/>
    </row>
    <row r="4" spans="2:30" s="12" customFormat="1" ht="15.75" thickBot="1" x14ac:dyDescent="0.3">
      <c r="P4" s="17" t="s">
        <v>32</v>
      </c>
      <c r="Q4" s="18">
        <v>31000696335</v>
      </c>
      <c r="R4" s="121"/>
      <c r="S4" s="122"/>
      <c r="T4" s="9"/>
      <c r="X4" s="13"/>
      <c r="Y4" s="14"/>
      <c r="Z4" s="15"/>
      <c r="AB4" s="124"/>
      <c r="AC4" s="125"/>
      <c r="AD4" s="126"/>
    </row>
    <row r="5" spans="2:30" s="1" customFormat="1" ht="15.75" thickBot="1" x14ac:dyDescent="0.3">
      <c r="B5" s="19" t="s">
        <v>0</v>
      </c>
      <c r="C5" s="20">
        <f>+XNPV($W$6,S19:S29,P19:P29)</f>
        <v>28783506772.470119</v>
      </c>
      <c r="P5" s="21"/>
      <c r="Q5" s="22"/>
      <c r="R5" s="10"/>
      <c r="T5" s="23"/>
      <c r="Y5" s="16"/>
      <c r="Z5" s="24"/>
      <c r="AB5" s="127"/>
      <c r="AC5" s="25"/>
      <c r="AD5" s="10"/>
    </row>
    <row r="6" spans="2:30" s="1" customFormat="1" ht="19.5" thickBot="1" x14ac:dyDescent="0.3">
      <c r="B6" s="19" t="s">
        <v>1</v>
      </c>
      <c r="C6" s="20">
        <f>+XNPV($W$6,Y19:Y29,V19:V29)</f>
        <v>33464513135.098534</v>
      </c>
      <c r="F6" s="137"/>
      <c r="O6" s="148"/>
      <c r="P6" s="26" t="s">
        <v>2</v>
      </c>
      <c r="Q6" s="27"/>
      <c r="R6" s="10"/>
      <c r="T6" s="34" t="s">
        <v>33</v>
      </c>
      <c r="U6" s="35"/>
      <c r="V6" s="35"/>
      <c r="W6" s="36">
        <v>0.26769999999999999</v>
      </c>
      <c r="X6" s="28" t="s">
        <v>35</v>
      </c>
      <c r="Z6" s="29"/>
      <c r="AB6" s="25"/>
      <c r="AC6" s="25"/>
      <c r="AD6" s="10"/>
    </row>
    <row r="7" spans="2:30" s="1" customFormat="1" ht="15.75" thickBot="1" x14ac:dyDescent="0.3">
      <c r="B7" s="30"/>
      <c r="C7" s="31"/>
      <c r="F7" s="136"/>
      <c r="H7" s="144"/>
      <c r="P7" s="32" t="s">
        <v>3</v>
      </c>
      <c r="Q7" s="33">
        <v>0.15</v>
      </c>
      <c r="R7" s="10"/>
      <c r="T7" s="43" t="s">
        <v>8</v>
      </c>
      <c r="U7" s="44"/>
      <c r="V7" s="44"/>
      <c r="W7" s="128">
        <f>+ROUND((C5/Q4)*100,4)</f>
        <v>92.847899999999996</v>
      </c>
      <c r="X7" s="39"/>
      <c r="Y7" s="16"/>
      <c r="AB7" s="37"/>
      <c r="AC7" s="37"/>
      <c r="AD7" s="16"/>
    </row>
    <row r="8" spans="2:30" s="1" customFormat="1" x14ac:dyDescent="0.25">
      <c r="B8" s="16" t="s">
        <v>4</v>
      </c>
      <c r="C8" s="16">
        <v>360</v>
      </c>
      <c r="P8" s="32" t="s">
        <v>5</v>
      </c>
      <c r="Q8" s="33">
        <v>0.6</v>
      </c>
      <c r="R8" s="38"/>
      <c r="S8" s="16"/>
      <c r="X8" s="45"/>
      <c r="Z8" s="16"/>
      <c r="AB8" s="37"/>
      <c r="AC8" s="37"/>
      <c r="AD8" s="16"/>
    </row>
    <row r="9" spans="2:30" s="1" customFormat="1" ht="19.5" thickBot="1" x14ac:dyDescent="0.35">
      <c r="P9" s="41" t="s">
        <v>7</v>
      </c>
      <c r="Q9" s="42">
        <v>200</v>
      </c>
      <c r="R9" s="38"/>
      <c r="S9" s="16"/>
      <c r="T9" s="117" t="s">
        <v>36</v>
      </c>
      <c r="U9" s="118"/>
      <c r="V9" s="118"/>
      <c r="W9" s="118"/>
      <c r="X9" s="118"/>
      <c r="Y9" s="119"/>
      <c r="AB9" s="37"/>
      <c r="AC9" s="37"/>
      <c r="AD9" s="16"/>
    </row>
    <row r="10" spans="2:30" s="1" customFormat="1" ht="30.75" thickBot="1" x14ac:dyDescent="0.3">
      <c r="P10" s="41" t="s">
        <v>9</v>
      </c>
      <c r="Q10" s="46">
        <f>+SUM(AF19:AF29)/(360/12)</f>
        <v>8.1487133952415789</v>
      </c>
      <c r="R10" s="10"/>
      <c r="T10" s="120" t="s">
        <v>11</v>
      </c>
      <c r="U10" s="49"/>
      <c r="V10" s="50"/>
      <c r="W10" s="50"/>
      <c r="X10" s="145">
        <v>0.41187499999999999</v>
      </c>
      <c r="Y10" s="28" t="s">
        <v>12</v>
      </c>
      <c r="Z10" s="10"/>
      <c r="AB10" s="37"/>
      <c r="AC10" s="37"/>
      <c r="AD10" s="16"/>
    </row>
    <row r="11" spans="2:30" s="1" customFormat="1" ht="15.75" thickBot="1" x14ac:dyDescent="0.3">
      <c r="F11" s="1">
        <v>1245919840</v>
      </c>
      <c r="P11" s="47" t="s">
        <v>10</v>
      </c>
      <c r="Q11" s="48">
        <f>+P29-R14</f>
        <v>316</v>
      </c>
      <c r="R11" s="149"/>
      <c r="Z11" s="51"/>
      <c r="AB11" s="37"/>
      <c r="AC11" s="37"/>
      <c r="AD11" s="16"/>
    </row>
    <row r="12" spans="2:30" s="1" customFormat="1" ht="15.75" thickBot="1" x14ac:dyDescent="0.3">
      <c r="D12" s="5"/>
      <c r="T12" s="111" t="s">
        <v>13</v>
      </c>
      <c r="U12" s="112"/>
      <c r="V12" s="112"/>
      <c r="W12" s="112"/>
      <c r="X12" s="134">
        <f>+XIRR(AB19:AB30,V19:V30)</f>
        <v>0.60389042496681211</v>
      </c>
      <c r="AB12" s="37"/>
      <c r="AC12" s="37"/>
      <c r="AD12" s="16"/>
    </row>
    <row r="13" spans="2:30" s="1" customFormat="1" ht="19.5" thickBot="1" x14ac:dyDescent="0.3">
      <c r="C13" s="5"/>
      <c r="D13" s="137">
        <v>45561</v>
      </c>
      <c r="E13" s="138">
        <v>10</v>
      </c>
      <c r="F13" s="144">
        <f>+D14-D13</f>
        <v>4</v>
      </c>
      <c r="P13" s="45"/>
      <c r="Q13" s="45"/>
      <c r="R13" s="45"/>
      <c r="T13" s="113" t="s">
        <v>6</v>
      </c>
      <c r="U13" s="114"/>
      <c r="V13" s="114"/>
      <c r="W13" s="115"/>
      <c r="X13" s="116">
        <f>+NOMINAL(X12,12)</f>
        <v>0.48185511895174038</v>
      </c>
      <c r="Y13" s="28"/>
      <c r="Z13" s="10"/>
      <c r="AB13" s="25"/>
      <c r="AC13" s="25"/>
      <c r="AD13" s="16"/>
    </row>
    <row r="14" spans="2:30" s="1" customFormat="1" ht="15.75" thickBot="1" x14ac:dyDescent="0.3">
      <c r="C14" s="8"/>
      <c r="D14" s="136">
        <v>45565</v>
      </c>
      <c r="E14" s="8">
        <v>30</v>
      </c>
      <c r="F14" s="8"/>
      <c r="P14" s="131" t="s">
        <v>34</v>
      </c>
      <c r="Q14" s="132"/>
      <c r="R14" s="133">
        <v>45537</v>
      </c>
      <c r="S14" s="10"/>
      <c r="T14" s="43" t="s">
        <v>14</v>
      </c>
      <c r="U14" s="44"/>
      <c r="V14" s="44"/>
      <c r="W14" s="55"/>
      <c r="X14" s="56">
        <f>+X13-X10</f>
        <v>6.9980118951740389E-2</v>
      </c>
      <c r="Y14" s="45"/>
      <c r="Z14" s="51"/>
      <c r="AB14" s="25"/>
      <c r="AC14" s="25"/>
      <c r="AD14" s="16"/>
    </row>
    <row r="15" spans="2:30" s="45" customFormat="1" x14ac:dyDescent="0.25">
      <c r="C15" s="52"/>
      <c r="D15" s="85"/>
      <c r="E15" s="52"/>
      <c r="F15" s="52"/>
      <c r="M15" s="53"/>
      <c r="N15" s="53"/>
      <c r="S15" s="53"/>
      <c r="Z15" s="130"/>
      <c r="AB15" s="54"/>
      <c r="AC15" s="54"/>
    </row>
    <row r="16" spans="2:30" ht="16.5" thickBot="1" x14ac:dyDescent="0.3">
      <c r="P16" s="57" t="s">
        <v>37</v>
      </c>
      <c r="Q16" s="58"/>
      <c r="R16" s="58"/>
      <c r="S16" s="58"/>
      <c r="T16" s="58"/>
      <c r="U16" s="58"/>
      <c r="V16" s="57" t="s">
        <v>15</v>
      </c>
    </row>
    <row r="17" spans="2:32" ht="16.5" thickBot="1" x14ac:dyDescent="0.3">
      <c r="B17" s="155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P17" s="156" t="s">
        <v>38</v>
      </c>
      <c r="Q17" s="157"/>
      <c r="R17" s="157"/>
      <c r="S17" s="157"/>
      <c r="T17" s="158"/>
      <c r="V17" s="156" t="s">
        <v>38</v>
      </c>
      <c r="W17" s="157"/>
      <c r="X17" s="157"/>
      <c r="Y17" s="157"/>
      <c r="Z17" s="158"/>
      <c r="AB17" s="61" t="s">
        <v>19</v>
      </c>
      <c r="AC17" s="62" t="s">
        <v>20</v>
      </c>
      <c r="AD17" s="62" t="s">
        <v>21</v>
      </c>
      <c r="AE17" s="62" t="s">
        <v>22</v>
      </c>
      <c r="AF17" s="63" t="s">
        <v>23</v>
      </c>
    </row>
    <row r="18" spans="2:32" ht="19.5" thickBot="1" x14ac:dyDescent="0.3">
      <c r="B18" s="155"/>
      <c r="C18" s="64"/>
      <c r="D18" s="60" t="s">
        <v>21</v>
      </c>
      <c r="E18" s="109" t="s">
        <v>11</v>
      </c>
      <c r="F18" s="110" t="s">
        <v>12</v>
      </c>
      <c r="G18" s="155" t="s">
        <v>24</v>
      </c>
      <c r="H18" s="154" t="s">
        <v>25</v>
      </c>
      <c r="I18" s="60" t="s">
        <v>26</v>
      </c>
      <c r="J18" s="154" t="s">
        <v>25</v>
      </c>
      <c r="K18" s="60" t="s">
        <v>26</v>
      </c>
      <c r="L18" s="60"/>
      <c r="P18" s="65" t="s">
        <v>27</v>
      </c>
      <c r="Q18" s="66" t="s">
        <v>28</v>
      </c>
      <c r="R18" s="66" t="s">
        <v>31</v>
      </c>
      <c r="S18" s="66" t="s">
        <v>29</v>
      </c>
      <c r="T18" s="67" t="s">
        <v>30</v>
      </c>
      <c r="U18" s="68"/>
      <c r="V18" s="65" t="s">
        <v>27</v>
      </c>
      <c r="W18" s="66" t="s">
        <v>28</v>
      </c>
      <c r="X18" s="66" t="s">
        <v>31</v>
      </c>
      <c r="Y18" s="66" t="s">
        <v>29</v>
      </c>
      <c r="Z18" s="67" t="s">
        <v>30</v>
      </c>
      <c r="AB18" s="69"/>
      <c r="AC18" s="70"/>
      <c r="AD18" s="71"/>
      <c r="AE18" s="71"/>
      <c r="AF18" s="72"/>
    </row>
    <row r="19" spans="2:32" ht="15.75" thickBot="1" x14ac:dyDescent="0.3">
      <c r="B19" s="73"/>
      <c r="C19" s="64"/>
      <c r="D19" s="64"/>
      <c r="E19" s="64"/>
      <c r="F19" s="108"/>
      <c r="G19" s="155"/>
      <c r="H19" s="154"/>
      <c r="I19" s="74">
        <v>0</v>
      </c>
      <c r="J19" s="154"/>
      <c r="K19" s="74">
        <v>0</v>
      </c>
      <c r="L19" s="74"/>
      <c r="P19" s="76">
        <f>+R14</f>
        <v>45537</v>
      </c>
      <c r="Q19" s="77"/>
      <c r="R19" s="77"/>
      <c r="S19" s="78">
        <v>0</v>
      </c>
      <c r="T19" s="79">
        <f>Q4</f>
        <v>31000696335</v>
      </c>
      <c r="V19" s="80">
        <f>+R14</f>
        <v>45537</v>
      </c>
      <c r="W19" s="60"/>
      <c r="X19" s="60"/>
      <c r="Y19" s="75">
        <v>0</v>
      </c>
      <c r="Z19" s="81">
        <f>+Q4</f>
        <v>31000696335</v>
      </c>
      <c r="AB19" s="82">
        <f>-(W7*Z19/100)</f>
        <v>-28783495532.424461</v>
      </c>
      <c r="AC19" s="83">
        <f>-T19</f>
        <v>-31000696335</v>
      </c>
      <c r="AD19" s="71">
        <f t="shared" ref="AD19:AD28" si="0">+P19-$P$19</f>
        <v>0</v>
      </c>
      <c r="AE19" s="71">
        <f t="shared" ref="AE19:AE36" si="1">+S19/((1+$AC$37)^(AD19/365))</f>
        <v>0</v>
      </c>
      <c r="AF19" s="72">
        <f t="shared" ref="AF19:AF29" si="2">+AE19/$AE$37*AD19</f>
        <v>0</v>
      </c>
    </row>
    <row r="20" spans="2:32" ht="15.75" thickBot="1" x14ac:dyDescent="0.3">
      <c r="B20" s="151">
        <v>64584784</v>
      </c>
      <c r="C20" s="64"/>
      <c r="D20" s="85">
        <v>5</v>
      </c>
      <c r="E20" s="107"/>
      <c r="F20" s="143">
        <f>+$X$10</f>
        <v>0.41187499999999999</v>
      </c>
      <c r="G20" s="87">
        <f>+MAX($Q$7,MIN($Q$8,$F20+$Q$9/10000))</f>
        <v>0.43187500000000001</v>
      </c>
      <c r="H20" s="74">
        <f t="shared" ref="H20:H30" si="3">+((G20*Z19)/$C$8)*$D20</f>
        <v>185950357.35664064</v>
      </c>
      <c r="I20" s="74">
        <f t="shared" ref="I20:I28" si="4">+I19+H20-X20</f>
        <v>0</v>
      </c>
      <c r="J20" s="74">
        <f>+(($Q$7*T19)/$C$8)*$D20</f>
        <v>64584784.03125</v>
      </c>
      <c r="K20" s="74">
        <f>+K19+J20-R20</f>
        <v>0</v>
      </c>
      <c r="L20" s="74"/>
      <c r="M20" s="89">
        <f>+V20+1</f>
        <v>45581</v>
      </c>
      <c r="N20" s="89"/>
      <c r="O20" s="89"/>
      <c r="P20" s="135">
        <v>45580</v>
      </c>
      <c r="Q20" s="90">
        <v>0</v>
      </c>
      <c r="R20" s="90">
        <f t="shared" ref="R20:R30" si="5">+(($Q$7*T19)/$C$8)*$D20</f>
        <v>64584784.03125</v>
      </c>
      <c r="S20" s="90">
        <f>Q20+R20</f>
        <v>64584784.03125</v>
      </c>
      <c r="T20" s="91">
        <f>+T19-Q20</f>
        <v>31000696335</v>
      </c>
      <c r="V20" s="40">
        <f>+P20</f>
        <v>45580</v>
      </c>
      <c r="W20" s="129">
        <v>0</v>
      </c>
      <c r="X20" s="74">
        <f>+((G20*Z19)/$C$8)*$D20</f>
        <v>185950357.35664064</v>
      </c>
      <c r="Y20" s="74">
        <f>+X20+W20</f>
        <v>185950357.35664064</v>
      </c>
      <c r="Z20" s="92">
        <f>+Z19-W20</f>
        <v>31000696335</v>
      </c>
      <c r="AB20" s="93">
        <f>+Y20</f>
        <v>185950357.35664064</v>
      </c>
      <c r="AC20" s="94">
        <f t="shared" ref="AC20:AC28" si="6">+S20</f>
        <v>64584784.03125</v>
      </c>
      <c r="AD20" s="71">
        <f>+P20-$P$19</f>
        <v>43</v>
      </c>
      <c r="AE20" s="71">
        <f t="shared" si="1"/>
        <v>63631017.673823833</v>
      </c>
      <c r="AF20" s="72">
        <f t="shared" si="2"/>
        <v>8.826039669684084E-2</v>
      </c>
    </row>
    <row r="21" spans="2:32" ht="15.75" thickBot="1" x14ac:dyDescent="0.3">
      <c r="B21" s="151">
        <v>387508704</v>
      </c>
      <c r="C21" s="64"/>
      <c r="D21" s="85">
        <v>30</v>
      </c>
      <c r="E21" s="107"/>
      <c r="F21" s="143">
        <f>+$X$10</f>
        <v>0.41187499999999999</v>
      </c>
      <c r="G21" s="87">
        <f>+MAX($Q$7,MIN($Q$8,$F21+$Q$9/10000))</f>
        <v>0.43187500000000001</v>
      </c>
      <c r="H21" s="74">
        <f t="shared" si="3"/>
        <v>1115702144.1398437</v>
      </c>
      <c r="I21" s="74">
        <f t="shared" si="4"/>
        <v>0</v>
      </c>
      <c r="J21" s="74">
        <f>+(($Q$7*T20)/$C$8)*$D21</f>
        <v>387508704.1875</v>
      </c>
      <c r="K21" s="74">
        <f>+K20+J21-R21</f>
        <v>0</v>
      </c>
      <c r="L21" s="74"/>
      <c r="M21" s="89">
        <f t="shared" ref="M21:M28" si="7">+V21</f>
        <v>45611</v>
      </c>
      <c r="N21" s="89"/>
      <c r="O21" s="89"/>
      <c r="P21" s="135">
        <v>45611</v>
      </c>
      <c r="Q21" s="90">
        <v>0</v>
      </c>
      <c r="R21" s="90">
        <f t="shared" si="5"/>
        <v>387508704.1875</v>
      </c>
      <c r="S21" s="90">
        <f t="shared" ref="S21:S30" si="8">Q21+R21</f>
        <v>387508704.1875</v>
      </c>
      <c r="T21" s="91">
        <f t="shared" ref="T21:T27" si="9">+T20-Q21</f>
        <v>31000696335</v>
      </c>
      <c r="V21" s="40">
        <f t="shared" ref="V21:V28" si="10">+P21</f>
        <v>45611</v>
      </c>
      <c r="W21" s="129">
        <v>0</v>
      </c>
      <c r="X21" s="74">
        <f>+((G21*Z20)/$C$8)*$D21</f>
        <v>1115702144.1398437</v>
      </c>
      <c r="Y21" s="74">
        <f>+X21+W21</f>
        <v>1115702144.1398437</v>
      </c>
      <c r="Z21" s="92">
        <f t="shared" ref="Z21:Z36" si="11">+Z20-W21</f>
        <v>31000696335</v>
      </c>
      <c r="AB21" s="93">
        <f>+Y21</f>
        <v>1115702144.1398437</v>
      </c>
      <c r="AC21" s="94">
        <f t="shared" si="6"/>
        <v>387508704.1875</v>
      </c>
      <c r="AD21" s="71">
        <f t="shared" si="0"/>
        <v>74</v>
      </c>
      <c r="AE21" s="71">
        <f t="shared" si="1"/>
        <v>377713008.55880147</v>
      </c>
      <c r="AF21" s="72">
        <f t="shared" si="2"/>
        <v>0.90161725062077425</v>
      </c>
    </row>
    <row r="22" spans="2:32" ht="15.75" thickBot="1" x14ac:dyDescent="0.3">
      <c r="B22" s="151">
        <v>387508704</v>
      </c>
      <c r="C22" s="64"/>
      <c r="D22" s="85">
        <v>30</v>
      </c>
      <c r="E22" s="107"/>
      <c r="F22" s="143">
        <f t="shared" ref="F22:F38" si="12">+$X$10</f>
        <v>0.41187499999999999</v>
      </c>
      <c r="G22" s="87">
        <f t="shared" ref="G22:G29" si="13">+MAX($Q$7,MIN($Q$8,$F22+$Q$9/10000))</f>
        <v>0.43187500000000001</v>
      </c>
      <c r="H22" s="74">
        <f t="shared" si="3"/>
        <v>1115702144.1398437</v>
      </c>
      <c r="I22" s="74">
        <f t="shared" si="4"/>
        <v>0</v>
      </c>
      <c r="J22" s="74">
        <f>+(($Q$7*T21)/$C$8)*$D22</f>
        <v>387508704.1875</v>
      </c>
      <c r="K22" s="74">
        <f>+K21+J22-R22</f>
        <v>0</v>
      </c>
      <c r="L22" s="74"/>
      <c r="M22" s="89">
        <f t="shared" si="7"/>
        <v>45641</v>
      </c>
      <c r="N22" s="89"/>
      <c r="O22" s="89"/>
      <c r="P22" s="135">
        <v>45641</v>
      </c>
      <c r="Q22" s="90">
        <v>0</v>
      </c>
      <c r="R22" s="90">
        <f t="shared" si="5"/>
        <v>387508704.1875</v>
      </c>
      <c r="S22" s="90">
        <f t="shared" si="8"/>
        <v>387508704.1875</v>
      </c>
      <c r="T22" s="91">
        <f t="shared" si="9"/>
        <v>31000696335</v>
      </c>
      <c r="V22" s="40">
        <f t="shared" si="10"/>
        <v>45641</v>
      </c>
      <c r="W22" s="129">
        <v>0</v>
      </c>
      <c r="X22" s="74">
        <f t="shared" ref="X22:X30" si="14">+((G22*Z21)/$C$8)*$D22</f>
        <v>1115702144.1398437</v>
      </c>
      <c r="Y22" s="74">
        <f>+X22+W22</f>
        <v>1115702144.1398437</v>
      </c>
      <c r="Z22" s="92">
        <f t="shared" si="11"/>
        <v>31000696335</v>
      </c>
      <c r="AA22" s="74"/>
      <c r="AB22" s="93">
        <f t="shared" ref="AB22:AB28" si="15">+Y22</f>
        <v>1115702144.1398437</v>
      </c>
      <c r="AC22" s="94">
        <f t="shared" si="6"/>
        <v>387508704.1875</v>
      </c>
      <c r="AD22" s="71">
        <f t="shared" si="0"/>
        <v>104</v>
      </c>
      <c r="AE22" s="71">
        <f t="shared" si="1"/>
        <v>373812680.04549885</v>
      </c>
      <c r="AF22" s="72">
        <f t="shared" si="2"/>
        <v>1.254053078482928</v>
      </c>
    </row>
    <row r="23" spans="2:32" ht="15.75" thickBot="1" x14ac:dyDescent="0.3">
      <c r="B23" s="151">
        <v>387508704</v>
      </c>
      <c r="C23" s="64"/>
      <c r="D23" s="85">
        <v>30</v>
      </c>
      <c r="E23" s="107"/>
      <c r="F23" s="143">
        <f t="shared" si="12"/>
        <v>0.41187499999999999</v>
      </c>
      <c r="G23" s="87">
        <f t="shared" si="13"/>
        <v>0.43187500000000001</v>
      </c>
      <c r="H23" s="74">
        <f t="shared" si="3"/>
        <v>1115702144.1398437</v>
      </c>
      <c r="I23" s="74">
        <f t="shared" si="4"/>
        <v>0</v>
      </c>
      <c r="J23" s="74">
        <f>+(($Q$7*T22)/$C$8)*$D23</f>
        <v>387508704.1875</v>
      </c>
      <c r="K23" s="74">
        <f>+K22+J23-R23</f>
        <v>0</v>
      </c>
      <c r="L23" s="74"/>
      <c r="M23" s="89">
        <f>+V23+1</f>
        <v>45673</v>
      </c>
      <c r="N23" s="89"/>
      <c r="O23" s="89"/>
      <c r="P23" s="135">
        <v>45672</v>
      </c>
      <c r="Q23" s="90">
        <v>0</v>
      </c>
      <c r="R23" s="90">
        <f t="shared" si="5"/>
        <v>387508704.1875</v>
      </c>
      <c r="S23" s="90">
        <f t="shared" si="8"/>
        <v>387508704.1875</v>
      </c>
      <c r="T23" s="91">
        <f t="shared" si="9"/>
        <v>31000696335</v>
      </c>
      <c r="V23" s="40">
        <f t="shared" si="10"/>
        <v>45672</v>
      </c>
      <c r="W23" s="129">
        <v>0</v>
      </c>
      <c r="X23" s="74">
        <f t="shared" si="14"/>
        <v>1115702144.1398437</v>
      </c>
      <c r="Y23" s="74">
        <f t="shared" ref="Y23:Y36" si="16">+X23+W23</f>
        <v>1115702144.1398437</v>
      </c>
      <c r="Z23" s="92">
        <f t="shared" si="11"/>
        <v>31000696335</v>
      </c>
      <c r="AA23" s="123"/>
      <c r="AB23" s="93">
        <f t="shared" si="15"/>
        <v>1115702144.1398437</v>
      </c>
      <c r="AC23" s="94">
        <f t="shared" si="6"/>
        <v>387508704.1875</v>
      </c>
      <c r="AD23" s="71">
        <f t="shared" si="0"/>
        <v>135</v>
      </c>
      <c r="AE23" s="71">
        <f t="shared" si="1"/>
        <v>369824647.31582624</v>
      </c>
      <c r="AF23" s="72">
        <f t="shared" si="2"/>
        <v>1.6104905123097268</v>
      </c>
    </row>
    <row r="24" spans="2:32" ht="15.75" thickBot="1" x14ac:dyDescent="0.3">
      <c r="B24" s="151">
        <v>387508704</v>
      </c>
      <c r="C24" s="64"/>
      <c r="D24" s="85">
        <v>30</v>
      </c>
      <c r="E24" s="107"/>
      <c r="F24" s="143">
        <f t="shared" si="12"/>
        <v>0.41187499999999999</v>
      </c>
      <c r="G24" s="87">
        <f t="shared" si="13"/>
        <v>0.43187500000000001</v>
      </c>
      <c r="H24" s="74">
        <f t="shared" si="3"/>
        <v>1115702144.1398437</v>
      </c>
      <c r="I24" s="74">
        <f t="shared" si="4"/>
        <v>0</v>
      </c>
      <c r="J24" s="74">
        <f t="shared" ref="J24:J29" si="17">+(($Q$7*T23)/$C$8)*$D24</f>
        <v>387508704.1875</v>
      </c>
      <c r="K24" s="74">
        <f>+K23+J24-R24</f>
        <v>0</v>
      </c>
      <c r="L24" s="74"/>
      <c r="M24" s="89">
        <f t="shared" si="7"/>
        <v>45703</v>
      </c>
      <c r="N24" s="89"/>
      <c r="O24" s="89"/>
      <c r="P24" s="135">
        <v>45703</v>
      </c>
      <c r="Q24" s="90">
        <v>0</v>
      </c>
      <c r="R24" s="90">
        <f t="shared" si="5"/>
        <v>387508704.1875</v>
      </c>
      <c r="S24" s="90">
        <f t="shared" si="8"/>
        <v>387508704.1875</v>
      </c>
      <c r="T24" s="91">
        <f t="shared" si="9"/>
        <v>31000696335</v>
      </c>
      <c r="V24" s="40">
        <f t="shared" si="10"/>
        <v>45703</v>
      </c>
      <c r="W24" s="129">
        <v>0</v>
      </c>
      <c r="X24" s="74">
        <f t="shared" si="14"/>
        <v>1115702144.1398437</v>
      </c>
      <c r="Y24" s="74">
        <f t="shared" si="16"/>
        <v>1115702144.1398437</v>
      </c>
      <c r="Z24" s="92">
        <f t="shared" si="11"/>
        <v>31000696335</v>
      </c>
      <c r="AB24" s="93">
        <f t="shared" si="15"/>
        <v>1115702144.1398437</v>
      </c>
      <c r="AC24" s="94">
        <f t="shared" si="6"/>
        <v>387508704.1875</v>
      </c>
      <c r="AD24" s="71">
        <f t="shared" si="0"/>
        <v>166</v>
      </c>
      <c r="AE24" s="71">
        <f t="shared" si="1"/>
        <v>365879161.04298049</v>
      </c>
      <c r="AF24" s="72">
        <f t="shared" si="2"/>
        <v>1.9591798841414809</v>
      </c>
    </row>
    <row r="25" spans="2:32" ht="15.75" thickBot="1" x14ac:dyDescent="0.3">
      <c r="B25" s="151">
        <v>387508704</v>
      </c>
      <c r="C25" s="64"/>
      <c r="D25" s="85">
        <v>30</v>
      </c>
      <c r="E25" s="107"/>
      <c r="F25" s="143">
        <f t="shared" si="12"/>
        <v>0.41187499999999999</v>
      </c>
      <c r="G25" s="87">
        <f t="shared" si="13"/>
        <v>0.43187500000000001</v>
      </c>
      <c r="H25" s="74">
        <f t="shared" si="3"/>
        <v>1115702144.1398437</v>
      </c>
      <c r="I25" s="74">
        <f t="shared" si="4"/>
        <v>0</v>
      </c>
      <c r="J25" s="74">
        <f t="shared" si="17"/>
        <v>387508704.1875</v>
      </c>
      <c r="K25" s="74">
        <f t="shared" ref="K25:K28" si="18">+K24+J25-R25</f>
        <v>0</v>
      </c>
      <c r="L25" s="74"/>
      <c r="M25" s="89">
        <f>+V25+2</f>
        <v>45733</v>
      </c>
      <c r="N25" s="89"/>
      <c r="O25" s="89"/>
      <c r="P25" s="135">
        <v>45731</v>
      </c>
      <c r="Q25" s="90">
        <v>0</v>
      </c>
      <c r="R25" s="90">
        <f t="shared" si="5"/>
        <v>387508704.1875</v>
      </c>
      <c r="S25" s="90">
        <f>Q25+R25</f>
        <v>387508704.1875</v>
      </c>
      <c r="T25" s="91">
        <f t="shared" si="9"/>
        <v>31000696335</v>
      </c>
      <c r="V25" s="40">
        <f t="shared" si="10"/>
        <v>45731</v>
      </c>
      <c r="W25" s="129">
        <v>0</v>
      </c>
      <c r="X25" s="74">
        <f t="shared" si="14"/>
        <v>1115702144.1398437</v>
      </c>
      <c r="Y25" s="74">
        <f t="shared" si="16"/>
        <v>1115702144.1398437</v>
      </c>
      <c r="Z25" s="92">
        <f t="shared" si="11"/>
        <v>31000696335</v>
      </c>
      <c r="AB25" s="93">
        <f t="shared" si="15"/>
        <v>1115702144.1398437</v>
      </c>
      <c r="AC25" s="94">
        <f t="shared" si="6"/>
        <v>387508704.1875</v>
      </c>
      <c r="AD25" s="71">
        <f t="shared" si="0"/>
        <v>194</v>
      </c>
      <c r="AE25" s="71">
        <f t="shared" si="1"/>
        <v>362351687.95336139</v>
      </c>
      <c r="AF25" s="72">
        <f t="shared" si="2"/>
        <v>2.2675693026899038</v>
      </c>
    </row>
    <row r="26" spans="2:32" ht="15.75" thickBot="1" x14ac:dyDescent="0.3">
      <c r="B26" s="151">
        <v>13512861299</v>
      </c>
      <c r="C26" s="64"/>
      <c r="D26" s="85">
        <v>30</v>
      </c>
      <c r="E26" s="107"/>
      <c r="F26" s="143">
        <f t="shared" si="12"/>
        <v>0.41187499999999999</v>
      </c>
      <c r="G26" s="87">
        <f t="shared" si="13"/>
        <v>0.43187500000000001</v>
      </c>
      <c r="H26" s="74">
        <f t="shared" si="3"/>
        <v>1115702144.1398437</v>
      </c>
      <c r="I26" s="74">
        <f t="shared" si="4"/>
        <v>0</v>
      </c>
      <c r="J26" s="74">
        <f t="shared" si="17"/>
        <v>387508704.1875</v>
      </c>
      <c r="K26" s="74">
        <f t="shared" si="18"/>
        <v>0</v>
      </c>
      <c r="L26" s="74"/>
      <c r="M26" s="89">
        <f>+V26+2</f>
        <v>45764</v>
      </c>
      <c r="N26" s="89"/>
      <c r="O26" s="89"/>
      <c r="P26" s="135">
        <v>45762</v>
      </c>
      <c r="Q26" s="90">
        <f t="shared" ref="Q26:Q30" si="19">MIN(B26-R26,T25)</f>
        <v>13125352594.8125</v>
      </c>
      <c r="R26" s="90">
        <f t="shared" si="5"/>
        <v>387508704.1875</v>
      </c>
      <c r="S26" s="90">
        <f t="shared" si="8"/>
        <v>13512861299</v>
      </c>
      <c r="T26" s="91">
        <f t="shared" si="9"/>
        <v>17875343740.1875</v>
      </c>
      <c r="V26" s="40">
        <f t="shared" si="10"/>
        <v>45762</v>
      </c>
      <c r="W26" s="74">
        <f>+IF(Z25&gt;0,MIN(B26-X26,Z25),0)</f>
        <v>12397159154.860157</v>
      </c>
      <c r="X26" s="74">
        <f t="shared" si="14"/>
        <v>1115702144.1398437</v>
      </c>
      <c r="Y26" s="74">
        <f t="shared" si="16"/>
        <v>13512861299</v>
      </c>
      <c r="Z26" s="92">
        <f t="shared" si="11"/>
        <v>18603537180.139843</v>
      </c>
      <c r="AB26" s="93">
        <f t="shared" si="15"/>
        <v>13512861299</v>
      </c>
      <c r="AC26" s="94">
        <f>+S26</f>
        <v>13512861299</v>
      </c>
      <c r="AD26" s="71">
        <f>+P26-$P$19</f>
        <v>225</v>
      </c>
      <c r="AE26" s="71">
        <f t="shared" si="1"/>
        <v>12500804651.406353</v>
      </c>
      <c r="AF26" s="72">
        <f t="shared" si="2"/>
        <v>90.729608538567547</v>
      </c>
    </row>
    <row r="27" spans="2:32" ht="15.6" customHeight="1" thickBot="1" x14ac:dyDescent="0.3">
      <c r="B27" s="151">
        <v>9888471441</v>
      </c>
      <c r="D27" s="85">
        <v>30</v>
      </c>
      <c r="E27" s="107"/>
      <c r="F27" s="143">
        <f t="shared" si="12"/>
        <v>0.41187499999999999</v>
      </c>
      <c r="G27" s="87">
        <f t="shared" si="13"/>
        <v>0.43187500000000001</v>
      </c>
      <c r="H27" s="74">
        <f t="shared" si="3"/>
        <v>669533551.63940787</v>
      </c>
      <c r="I27" s="74">
        <f t="shared" si="4"/>
        <v>0</v>
      </c>
      <c r="J27" s="74">
        <f t="shared" si="17"/>
        <v>223441796.75234374</v>
      </c>
      <c r="K27" s="74">
        <f t="shared" si="18"/>
        <v>0</v>
      </c>
      <c r="L27" s="74"/>
      <c r="M27" s="89">
        <f>+V27</f>
        <v>45792</v>
      </c>
      <c r="N27" s="89"/>
      <c r="O27" s="89"/>
      <c r="P27" s="135">
        <v>45792</v>
      </c>
      <c r="Q27" s="90">
        <f t="shared" si="19"/>
        <v>9665029644.2476559</v>
      </c>
      <c r="R27" s="90">
        <f t="shared" si="5"/>
        <v>223441796.75234374</v>
      </c>
      <c r="S27" s="90">
        <f t="shared" si="8"/>
        <v>9888471441</v>
      </c>
      <c r="T27" s="91">
        <f t="shared" si="9"/>
        <v>8210314095.9398441</v>
      </c>
      <c r="V27" s="40">
        <f t="shared" si="10"/>
        <v>45792</v>
      </c>
      <c r="W27" s="74">
        <f>+IF(Z26&gt;0,MIN(B27-X27,Z26),0)</f>
        <v>9218937889.3605919</v>
      </c>
      <c r="X27" s="74">
        <f t="shared" si="14"/>
        <v>669533551.63940787</v>
      </c>
      <c r="Y27" s="74">
        <f t="shared" si="16"/>
        <v>9888471441</v>
      </c>
      <c r="Z27" s="92">
        <f>+Z26-W27</f>
        <v>9384599290.7792511</v>
      </c>
      <c r="AB27" s="93">
        <f t="shared" si="15"/>
        <v>9888471441</v>
      </c>
      <c r="AC27" s="94">
        <f t="shared" si="6"/>
        <v>9888471441</v>
      </c>
      <c r="AD27" s="71">
        <f t="shared" si="0"/>
        <v>255</v>
      </c>
      <c r="AE27" s="71">
        <f t="shared" si="1"/>
        <v>9053403977.4517231</v>
      </c>
      <c r="AF27" s="72">
        <f t="shared" si="2"/>
        <v>74.469875976055803</v>
      </c>
    </row>
    <row r="28" spans="2:32" ht="15.75" thickBot="1" x14ac:dyDescent="0.3">
      <c r="B28" s="151">
        <v>6398228251</v>
      </c>
      <c r="D28" s="85">
        <v>30</v>
      </c>
      <c r="E28" s="107"/>
      <c r="F28" s="143">
        <f t="shared" si="12"/>
        <v>0.41187499999999999</v>
      </c>
      <c r="G28" s="87">
        <f t="shared" si="13"/>
        <v>0.43187500000000001</v>
      </c>
      <c r="H28" s="74">
        <f t="shared" si="3"/>
        <v>337747818.2254408</v>
      </c>
      <c r="I28" s="74">
        <f t="shared" si="4"/>
        <v>0</v>
      </c>
      <c r="J28" s="74">
        <f t="shared" si="17"/>
        <v>102628926.19924806</v>
      </c>
      <c r="K28" s="74">
        <f t="shared" si="18"/>
        <v>0</v>
      </c>
      <c r="L28" s="74"/>
      <c r="M28" s="89">
        <f t="shared" si="7"/>
        <v>45823</v>
      </c>
      <c r="N28" s="89"/>
      <c r="O28" s="89"/>
      <c r="P28" s="135">
        <v>45823</v>
      </c>
      <c r="Q28" s="90">
        <f t="shared" si="19"/>
        <v>6295599324.8007517</v>
      </c>
      <c r="R28" s="90">
        <f t="shared" si="5"/>
        <v>102628926.19924806</v>
      </c>
      <c r="S28" s="90">
        <f t="shared" si="8"/>
        <v>6398228251</v>
      </c>
      <c r="T28" s="91">
        <f>+T27-Q28</f>
        <v>1914714771.1390924</v>
      </c>
      <c r="V28" s="40">
        <f t="shared" si="10"/>
        <v>45823</v>
      </c>
      <c r="W28" s="74">
        <f>+IF(Z27&gt;0,MIN(B28-X28,Z27),0)</f>
        <v>6060480432.774559</v>
      </c>
      <c r="X28" s="74">
        <f t="shared" si="14"/>
        <v>337747818.2254408</v>
      </c>
      <c r="Y28" s="74">
        <f t="shared" si="16"/>
        <v>6398228251</v>
      </c>
      <c r="Z28" s="92">
        <f>+Z27-W28</f>
        <v>3324118858.0046921</v>
      </c>
      <c r="AB28" s="93">
        <f t="shared" si="15"/>
        <v>6398228251</v>
      </c>
      <c r="AC28" s="94">
        <f t="shared" si="6"/>
        <v>6398228251</v>
      </c>
      <c r="AD28" s="71">
        <f t="shared" si="0"/>
        <v>286</v>
      </c>
      <c r="AE28" s="71">
        <f t="shared" si="1"/>
        <v>5795411630.9540901</v>
      </c>
      <c r="AF28" s="72">
        <f t="shared" si="2"/>
        <v>53.466144965896149</v>
      </c>
    </row>
    <row r="29" spans="2:32" ht="15.75" thickBot="1" x14ac:dyDescent="0.3">
      <c r="B29" s="151">
        <f>1938648706+3768263986</f>
        <v>5706912692</v>
      </c>
      <c r="C29" s="64"/>
      <c r="D29" s="85">
        <v>30</v>
      </c>
      <c r="E29" s="107"/>
      <c r="F29" s="143">
        <f t="shared" si="12"/>
        <v>0.41187499999999999</v>
      </c>
      <c r="G29" s="87">
        <f t="shared" si="13"/>
        <v>0.43187500000000001</v>
      </c>
      <c r="H29" s="74">
        <f t="shared" si="3"/>
        <v>119633652.65006471</v>
      </c>
      <c r="I29" s="74">
        <f t="shared" ref="I29:I36" si="20">+I28+H29-X29</f>
        <v>0</v>
      </c>
      <c r="J29" s="74">
        <f t="shared" si="17"/>
        <v>23933934.639238656</v>
      </c>
      <c r="K29" s="74">
        <f>+K28+J29-R29</f>
        <v>0</v>
      </c>
      <c r="L29" s="74"/>
      <c r="M29" s="89">
        <f>+V29+1</f>
        <v>45854</v>
      </c>
      <c r="N29" s="89"/>
      <c r="O29" s="89"/>
      <c r="P29" s="135">
        <v>45853</v>
      </c>
      <c r="Q29" s="90">
        <f t="shared" si="19"/>
        <v>1914714771.1390924</v>
      </c>
      <c r="R29" s="90">
        <f t="shared" si="5"/>
        <v>23933934.639238656</v>
      </c>
      <c r="S29" s="90">
        <f t="shared" si="8"/>
        <v>1938648705.778331</v>
      </c>
      <c r="T29" s="91">
        <f>+T28-Q29</f>
        <v>0</v>
      </c>
      <c r="V29" s="40">
        <f>+P29</f>
        <v>45853</v>
      </c>
      <c r="W29" s="74">
        <f>+IF(Z28&gt;0,MIN(B29-X29,Z28),0)</f>
        <v>3324118858.0046921</v>
      </c>
      <c r="X29" s="74">
        <f t="shared" si="14"/>
        <v>119633652.65006471</v>
      </c>
      <c r="Y29" s="74">
        <f t="shared" si="16"/>
        <v>3443752510.6547565</v>
      </c>
      <c r="Z29" s="92">
        <f t="shared" si="11"/>
        <v>0</v>
      </c>
      <c r="AB29" s="93">
        <f t="shared" ref="AB29:AB36" si="21">+Y29</f>
        <v>3443752510.6547565</v>
      </c>
      <c r="AC29" s="94">
        <f t="shared" ref="AC29:AC36" si="22">+S29</f>
        <v>1938648705.778331</v>
      </c>
      <c r="AD29" s="71">
        <f t="shared" ref="AD29:AD36" si="23">+P29-$P$19</f>
        <v>316</v>
      </c>
      <c r="AE29" s="71">
        <f t="shared" si="1"/>
        <v>1737863913.0349879</v>
      </c>
      <c r="AF29" s="72">
        <f t="shared" si="2"/>
        <v>17.714601951786221</v>
      </c>
    </row>
    <row r="30" spans="2:32" ht="15.75" thickBot="1" x14ac:dyDescent="0.3">
      <c r="B30" s="152">
        <v>4896651632</v>
      </c>
      <c r="C30" s="64"/>
      <c r="D30" s="85">
        <v>30</v>
      </c>
      <c r="E30" s="107"/>
      <c r="F30" s="143">
        <f t="shared" si="12"/>
        <v>0.41187499999999999</v>
      </c>
      <c r="G30" s="87">
        <f t="shared" ref="G30:G38" si="24">+MAX($Q$7,MIN($Q$8,$F30+$Q$9/10000))</f>
        <v>0.43187500000000001</v>
      </c>
      <c r="H30" s="74">
        <f t="shared" si="3"/>
        <v>0</v>
      </c>
      <c r="I30" s="74">
        <f t="shared" si="20"/>
        <v>0</v>
      </c>
      <c r="J30" s="74">
        <f t="shared" ref="J30:J36" si="25">+(($Q$7*T29)/$C$8)*$D30</f>
        <v>0</v>
      </c>
      <c r="K30" s="74">
        <f>+K29+J30-R30</f>
        <v>0</v>
      </c>
      <c r="L30" s="74"/>
      <c r="M30" s="89">
        <f t="shared" ref="M30:M36" si="26">+V30</f>
        <v>45884</v>
      </c>
      <c r="N30" s="89"/>
      <c r="O30" s="89"/>
      <c r="P30" s="135">
        <v>45884</v>
      </c>
      <c r="Q30" s="90">
        <f t="shared" si="19"/>
        <v>0</v>
      </c>
      <c r="R30" s="90">
        <f t="shared" si="5"/>
        <v>0</v>
      </c>
      <c r="S30" s="90">
        <f t="shared" si="8"/>
        <v>0</v>
      </c>
      <c r="T30" s="91">
        <f>+T29-Q30</f>
        <v>0</v>
      </c>
      <c r="V30" s="40">
        <f t="shared" ref="V30:V36" si="27">+P30</f>
        <v>45884</v>
      </c>
      <c r="W30" s="74">
        <f>+IF(Z29&gt;0,MIN(B30-X30,Z29),0)</f>
        <v>0</v>
      </c>
      <c r="X30" s="74">
        <f t="shared" si="14"/>
        <v>0</v>
      </c>
      <c r="Y30" s="74">
        <f t="shared" si="16"/>
        <v>0</v>
      </c>
      <c r="Z30" s="92">
        <f t="shared" si="11"/>
        <v>0</v>
      </c>
      <c r="AB30" s="93">
        <f t="shared" si="21"/>
        <v>0</v>
      </c>
      <c r="AC30" s="94">
        <f t="shared" si="22"/>
        <v>0</v>
      </c>
      <c r="AD30" s="71">
        <f t="shared" si="23"/>
        <v>347</v>
      </c>
      <c r="AE30" s="71">
        <f t="shared" si="1"/>
        <v>0</v>
      </c>
      <c r="AF30" s="72">
        <f t="shared" ref="AF30:AF36" si="28">+AE30/$AE$37*AD30</f>
        <v>0</v>
      </c>
    </row>
    <row r="31" spans="2:32" ht="15.75" hidden="1" thickBot="1" x14ac:dyDescent="0.3">
      <c r="B31" s="84">
        <v>2906148737</v>
      </c>
      <c r="C31" s="64"/>
      <c r="D31" s="85">
        <v>30</v>
      </c>
      <c r="E31" s="107"/>
      <c r="F31" s="143">
        <f t="shared" si="12"/>
        <v>0.41187499999999999</v>
      </c>
      <c r="G31" s="87">
        <f t="shared" si="24"/>
        <v>0.43187500000000001</v>
      </c>
      <c r="H31" s="74">
        <f t="shared" ref="H31:H36" si="29">+((G31*Z30)/$C$8)*$D31</f>
        <v>0</v>
      </c>
      <c r="I31" s="74">
        <f t="shared" si="20"/>
        <v>0</v>
      </c>
      <c r="J31" s="74">
        <f t="shared" si="25"/>
        <v>0</v>
      </c>
      <c r="K31" s="74">
        <f>+K30+J31-R31</f>
        <v>0</v>
      </c>
      <c r="L31" s="74"/>
      <c r="M31" s="89">
        <f t="shared" si="26"/>
        <v>45915</v>
      </c>
      <c r="N31" s="89"/>
      <c r="O31" s="89"/>
      <c r="P31" s="135">
        <v>45915</v>
      </c>
      <c r="Q31" s="90"/>
      <c r="R31" s="90"/>
      <c r="S31" s="90"/>
      <c r="T31" s="91"/>
      <c r="V31" s="40">
        <f t="shared" si="27"/>
        <v>45915</v>
      </c>
      <c r="W31" s="74">
        <f t="shared" ref="W31:W36" si="30">+IF(Z30&gt;0,MIN(B31-X31,Z30),0)</f>
        <v>0</v>
      </c>
      <c r="X31" s="74">
        <f t="shared" ref="X31:X36" si="31">+((G31*Z30)/$C$8)*$D31</f>
        <v>0</v>
      </c>
      <c r="Y31" s="74">
        <f t="shared" si="16"/>
        <v>0</v>
      </c>
      <c r="Z31" s="92">
        <f t="shared" si="11"/>
        <v>0</v>
      </c>
      <c r="AB31" s="93">
        <f t="shared" si="21"/>
        <v>0</v>
      </c>
      <c r="AC31" s="94">
        <f t="shared" si="22"/>
        <v>0</v>
      </c>
      <c r="AD31" s="71">
        <f t="shared" si="23"/>
        <v>378</v>
      </c>
      <c r="AE31" s="71">
        <f t="shared" si="1"/>
        <v>0</v>
      </c>
      <c r="AF31" s="72">
        <f t="shared" si="28"/>
        <v>0</v>
      </c>
    </row>
    <row r="32" spans="2:32" ht="15.75" hidden="1" thickBot="1" x14ac:dyDescent="0.3">
      <c r="B32" s="84"/>
      <c r="C32" s="64"/>
      <c r="D32" s="85">
        <v>30</v>
      </c>
      <c r="E32" s="107"/>
      <c r="F32" s="143">
        <f t="shared" si="12"/>
        <v>0.41187499999999999</v>
      </c>
      <c r="G32" s="87">
        <f t="shared" si="24"/>
        <v>0.43187500000000001</v>
      </c>
      <c r="H32" s="74">
        <f t="shared" si="29"/>
        <v>0</v>
      </c>
      <c r="I32" s="74">
        <f t="shared" si="20"/>
        <v>0</v>
      </c>
      <c r="J32" s="74">
        <f t="shared" si="25"/>
        <v>0</v>
      </c>
      <c r="K32" s="74">
        <f t="shared" ref="K32:K36" si="32">+K31+J32-R32</f>
        <v>0</v>
      </c>
      <c r="L32" s="74"/>
      <c r="M32" s="89">
        <f t="shared" si="26"/>
        <v>45945</v>
      </c>
      <c r="N32" s="89"/>
      <c r="O32" s="89"/>
      <c r="P32" s="135">
        <v>45945</v>
      </c>
      <c r="Q32" s="90"/>
      <c r="R32" s="90"/>
      <c r="S32" s="90"/>
      <c r="T32" s="91"/>
      <c r="V32" s="40">
        <f t="shared" si="27"/>
        <v>45945</v>
      </c>
      <c r="W32" s="74">
        <f t="shared" si="30"/>
        <v>0</v>
      </c>
      <c r="X32" s="74">
        <f t="shared" si="31"/>
        <v>0</v>
      </c>
      <c r="Y32" s="74">
        <f t="shared" si="16"/>
        <v>0</v>
      </c>
      <c r="Z32" s="92">
        <f t="shared" si="11"/>
        <v>0</v>
      </c>
      <c r="AB32" s="93">
        <f t="shared" si="21"/>
        <v>0</v>
      </c>
      <c r="AC32" s="94">
        <f t="shared" si="22"/>
        <v>0</v>
      </c>
      <c r="AD32" s="71">
        <f t="shared" si="23"/>
        <v>408</v>
      </c>
      <c r="AE32" s="71">
        <f t="shared" si="1"/>
        <v>0</v>
      </c>
      <c r="AF32" s="72">
        <f t="shared" si="28"/>
        <v>0</v>
      </c>
    </row>
    <row r="33" spans="2:32" ht="15.75" hidden="1" thickBot="1" x14ac:dyDescent="0.3">
      <c r="B33" s="84"/>
      <c r="C33" s="64"/>
      <c r="D33" s="85">
        <v>30</v>
      </c>
      <c r="E33" s="107"/>
      <c r="F33" s="143">
        <f t="shared" si="12"/>
        <v>0.41187499999999999</v>
      </c>
      <c r="G33" s="87">
        <f t="shared" si="24"/>
        <v>0.43187500000000001</v>
      </c>
      <c r="H33" s="74">
        <f t="shared" si="29"/>
        <v>0</v>
      </c>
      <c r="I33" s="74">
        <f t="shared" si="20"/>
        <v>0</v>
      </c>
      <c r="J33" s="74">
        <f t="shared" si="25"/>
        <v>0</v>
      </c>
      <c r="K33" s="74">
        <f t="shared" si="32"/>
        <v>0</v>
      </c>
      <c r="L33" s="74"/>
      <c r="M33" s="89">
        <f t="shared" si="26"/>
        <v>45976</v>
      </c>
      <c r="N33" s="89"/>
      <c r="O33" s="89"/>
      <c r="P33" s="135">
        <v>45976</v>
      </c>
      <c r="Q33" s="90"/>
      <c r="R33" s="90"/>
      <c r="S33" s="90"/>
      <c r="T33" s="91"/>
      <c r="V33" s="40">
        <f t="shared" si="27"/>
        <v>45976</v>
      </c>
      <c r="W33" s="74">
        <f t="shared" si="30"/>
        <v>0</v>
      </c>
      <c r="X33" s="74">
        <f t="shared" si="31"/>
        <v>0</v>
      </c>
      <c r="Y33" s="74">
        <f t="shared" si="16"/>
        <v>0</v>
      </c>
      <c r="Z33" s="92">
        <f t="shared" si="11"/>
        <v>0</v>
      </c>
      <c r="AB33" s="93">
        <f t="shared" si="21"/>
        <v>0</v>
      </c>
      <c r="AC33" s="94">
        <f t="shared" si="22"/>
        <v>0</v>
      </c>
      <c r="AD33" s="71">
        <f t="shared" si="23"/>
        <v>439</v>
      </c>
      <c r="AE33" s="71">
        <f t="shared" si="1"/>
        <v>0</v>
      </c>
      <c r="AF33" s="72">
        <f t="shared" si="28"/>
        <v>0</v>
      </c>
    </row>
    <row r="34" spans="2:32" ht="15.75" hidden="1" thickBot="1" x14ac:dyDescent="0.3">
      <c r="B34" s="84"/>
      <c r="C34" s="64"/>
      <c r="D34" s="85">
        <v>30</v>
      </c>
      <c r="E34" s="107"/>
      <c r="F34" s="143">
        <f t="shared" si="12"/>
        <v>0.41187499999999999</v>
      </c>
      <c r="G34" s="87">
        <f t="shared" si="24"/>
        <v>0.43187500000000001</v>
      </c>
      <c r="H34" s="74">
        <f t="shared" si="29"/>
        <v>0</v>
      </c>
      <c r="I34" s="74">
        <f t="shared" si="20"/>
        <v>0</v>
      </c>
      <c r="J34" s="74">
        <f t="shared" si="25"/>
        <v>0</v>
      </c>
      <c r="K34" s="74">
        <f t="shared" si="32"/>
        <v>0</v>
      </c>
      <c r="L34" s="74"/>
      <c r="M34" s="89">
        <f>+V34+2</f>
        <v>46008</v>
      </c>
      <c r="N34" s="89"/>
      <c r="O34" s="89"/>
      <c r="P34" s="135">
        <v>46006</v>
      </c>
      <c r="Q34" s="90"/>
      <c r="R34" s="90"/>
      <c r="S34" s="90"/>
      <c r="T34" s="91"/>
      <c r="V34" s="40">
        <f t="shared" si="27"/>
        <v>46006</v>
      </c>
      <c r="W34" s="74">
        <f t="shared" si="30"/>
        <v>0</v>
      </c>
      <c r="X34" s="74">
        <f t="shared" si="31"/>
        <v>0</v>
      </c>
      <c r="Y34" s="74">
        <f t="shared" si="16"/>
        <v>0</v>
      </c>
      <c r="Z34" s="92">
        <f t="shared" si="11"/>
        <v>0</v>
      </c>
      <c r="AB34" s="93">
        <f t="shared" si="21"/>
        <v>0</v>
      </c>
      <c r="AC34" s="94">
        <f t="shared" si="22"/>
        <v>0</v>
      </c>
      <c r="AD34" s="71">
        <f t="shared" si="23"/>
        <v>469</v>
      </c>
      <c r="AE34" s="71">
        <f t="shared" si="1"/>
        <v>0</v>
      </c>
      <c r="AF34" s="72">
        <f t="shared" si="28"/>
        <v>0</v>
      </c>
    </row>
    <row r="35" spans="2:32" ht="15.75" hidden="1" thickBot="1" x14ac:dyDescent="0.3">
      <c r="B35" s="84"/>
      <c r="C35" s="64"/>
      <c r="D35" s="85">
        <v>30</v>
      </c>
      <c r="E35" s="107"/>
      <c r="F35" s="143">
        <f t="shared" si="12"/>
        <v>0.41187499999999999</v>
      </c>
      <c r="G35" s="87">
        <f t="shared" si="24"/>
        <v>0.43187500000000001</v>
      </c>
      <c r="H35" s="74">
        <f t="shared" si="29"/>
        <v>0</v>
      </c>
      <c r="I35" s="74">
        <f t="shared" si="20"/>
        <v>0</v>
      </c>
      <c r="J35" s="74">
        <f t="shared" si="25"/>
        <v>0</v>
      </c>
      <c r="K35" s="74">
        <f t="shared" si="32"/>
        <v>0</v>
      </c>
      <c r="L35" s="74"/>
      <c r="M35" s="89">
        <f t="shared" si="26"/>
        <v>46037</v>
      </c>
      <c r="N35" s="89"/>
      <c r="O35" s="89"/>
      <c r="P35" s="135">
        <v>46037</v>
      </c>
      <c r="Q35" s="90"/>
      <c r="R35" s="90"/>
      <c r="S35" s="90"/>
      <c r="T35" s="91"/>
      <c r="V35" s="40">
        <f t="shared" si="27"/>
        <v>46037</v>
      </c>
      <c r="W35" s="74">
        <f t="shared" si="30"/>
        <v>0</v>
      </c>
      <c r="X35" s="74">
        <f t="shared" si="31"/>
        <v>0</v>
      </c>
      <c r="Y35" s="74">
        <f t="shared" si="16"/>
        <v>0</v>
      </c>
      <c r="Z35" s="92">
        <f t="shared" si="11"/>
        <v>0</v>
      </c>
      <c r="AB35" s="93">
        <f t="shared" si="21"/>
        <v>0</v>
      </c>
      <c r="AC35" s="94">
        <f t="shared" si="22"/>
        <v>0</v>
      </c>
      <c r="AD35" s="71">
        <f t="shared" si="23"/>
        <v>500</v>
      </c>
      <c r="AE35" s="71">
        <f t="shared" si="1"/>
        <v>0</v>
      </c>
      <c r="AF35" s="72">
        <f t="shared" si="28"/>
        <v>0</v>
      </c>
    </row>
    <row r="36" spans="2:32" ht="15.75" hidden="1" thickBot="1" x14ac:dyDescent="0.3">
      <c r="B36" s="84"/>
      <c r="C36" s="64"/>
      <c r="D36" s="85">
        <v>30</v>
      </c>
      <c r="E36" s="107"/>
      <c r="F36" s="143">
        <f t="shared" si="12"/>
        <v>0.41187499999999999</v>
      </c>
      <c r="G36" s="87">
        <f t="shared" si="24"/>
        <v>0.43187500000000001</v>
      </c>
      <c r="H36" s="74">
        <f t="shared" si="29"/>
        <v>0</v>
      </c>
      <c r="I36" s="74">
        <f t="shared" si="20"/>
        <v>0</v>
      </c>
      <c r="J36" s="74">
        <f t="shared" si="25"/>
        <v>0</v>
      </c>
      <c r="K36" s="74">
        <f t="shared" si="32"/>
        <v>0</v>
      </c>
      <c r="L36" s="74"/>
      <c r="M36" s="89">
        <f t="shared" si="26"/>
        <v>46068</v>
      </c>
      <c r="N36" s="89"/>
      <c r="O36" s="89"/>
      <c r="P36" s="135">
        <v>46068</v>
      </c>
      <c r="Q36" s="90"/>
      <c r="R36" s="90"/>
      <c r="S36" s="90"/>
      <c r="T36" s="91"/>
      <c r="V36" s="40">
        <f t="shared" si="27"/>
        <v>46068</v>
      </c>
      <c r="W36" s="74">
        <f t="shared" si="30"/>
        <v>0</v>
      </c>
      <c r="X36" s="74">
        <f t="shared" si="31"/>
        <v>0</v>
      </c>
      <c r="Y36" s="74">
        <f t="shared" si="16"/>
        <v>0</v>
      </c>
      <c r="Z36" s="92">
        <f t="shared" si="11"/>
        <v>0</v>
      </c>
      <c r="AB36" s="93">
        <f t="shared" si="21"/>
        <v>0</v>
      </c>
      <c r="AC36" s="94">
        <f t="shared" si="22"/>
        <v>0</v>
      </c>
      <c r="AD36" s="71">
        <f t="shared" si="23"/>
        <v>531</v>
      </c>
      <c r="AE36" s="71">
        <f t="shared" si="1"/>
        <v>0</v>
      </c>
      <c r="AF36" s="72">
        <f t="shared" si="28"/>
        <v>0</v>
      </c>
    </row>
    <row r="37" spans="2:32" ht="15.75" hidden="1" thickBot="1" x14ac:dyDescent="0.3">
      <c r="B37" s="84"/>
      <c r="C37" s="64"/>
      <c r="D37" s="85"/>
      <c r="E37" s="85"/>
      <c r="F37" s="143">
        <f t="shared" si="12"/>
        <v>0.41187499999999999</v>
      </c>
      <c r="G37" s="87">
        <f t="shared" si="24"/>
        <v>0.43187500000000001</v>
      </c>
      <c r="H37" s="74">
        <f>+((G37*Z36)/$C$8)*$D37</f>
        <v>0</v>
      </c>
      <c r="I37" s="74"/>
      <c r="J37" s="74"/>
      <c r="K37" s="74"/>
      <c r="L37" s="74"/>
      <c r="P37" s="135"/>
      <c r="Q37" s="90"/>
      <c r="R37" s="90"/>
      <c r="S37" s="90"/>
      <c r="T37" s="91"/>
      <c r="V37" s="40"/>
      <c r="W37" s="74"/>
      <c r="X37" s="74"/>
      <c r="Y37" s="74"/>
      <c r="Z37" s="92"/>
      <c r="AB37" s="99"/>
      <c r="AC37" s="100">
        <f>+XIRR(AC19:AC36,P19:P36)</f>
        <v>0.13460914492607121</v>
      </c>
      <c r="AD37" s="101"/>
      <c r="AE37" s="102">
        <f>SUM(AE19:AE36)</f>
        <v>31000696375.437447</v>
      </c>
      <c r="AF37" s="103"/>
    </row>
    <row r="38" spans="2:32" ht="15.75" thickBot="1" x14ac:dyDescent="0.3">
      <c r="B38" s="64"/>
      <c r="C38" s="64"/>
      <c r="D38" s="85"/>
      <c r="E38" s="85"/>
      <c r="F38" s="143">
        <f t="shared" si="12"/>
        <v>0.41187499999999999</v>
      </c>
      <c r="G38" s="87">
        <f t="shared" si="24"/>
        <v>0.43187500000000001</v>
      </c>
      <c r="H38" s="74">
        <f>+((G38*Z38)/$C$8)*$D38</f>
        <v>0</v>
      </c>
      <c r="I38" s="74"/>
      <c r="J38" s="74"/>
      <c r="K38" s="74"/>
      <c r="L38" s="74"/>
      <c r="P38" s="95" t="s">
        <v>29</v>
      </c>
      <c r="Q38" s="96">
        <f>SUM(Q20:Q36)</f>
        <v>31000696335</v>
      </c>
      <c r="R38" s="96">
        <f>+SUM(R20:R36)</f>
        <v>2739641666.7470803</v>
      </c>
      <c r="S38" s="96">
        <f>+SUM(S20:S36)</f>
        <v>33740338001.747082</v>
      </c>
      <c r="T38" s="97"/>
      <c r="V38" s="98" t="s">
        <v>29</v>
      </c>
      <c r="W38" s="96">
        <f>+SUM(W20:W36)</f>
        <v>31000696335</v>
      </c>
      <c r="X38" s="96">
        <f>+SUM(X20:X36)</f>
        <v>8007078244.7106171</v>
      </c>
      <c r="Y38" s="96">
        <f>+SUM(Y20:Y36)</f>
        <v>39007774579.710617</v>
      </c>
      <c r="Z38" s="97"/>
      <c r="AB38" s="104"/>
      <c r="AC38" s="104"/>
    </row>
    <row r="39" spans="2:32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V39" s="64"/>
      <c r="W39" s="74"/>
      <c r="X39" s="74"/>
      <c r="Y39" s="74"/>
      <c r="Z39" s="88"/>
      <c r="AB39" s="104"/>
      <c r="AE39" s="88"/>
    </row>
    <row r="40" spans="2:32" ht="15" customHeight="1" x14ac:dyDescent="0.25">
      <c r="B40" s="106">
        <f>+SUM(B20:B37)</f>
        <v>45311402356</v>
      </c>
      <c r="H40" s="106">
        <f>+SUM(H20:H39)</f>
        <v>8007078244.7106171</v>
      </c>
    </row>
    <row r="41" spans="2:32" x14ac:dyDescent="0.25">
      <c r="P41" s="153" t="s">
        <v>40</v>
      </c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 spans="2:32" x14ac:dyDescent="0.25"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</row>
    <row r="43" spans="2:32" x14ac:dyDescent="0.25">
      <c r="B43" s="16">
        <v>544648974</v>
      </c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</row>
    <row r="47" spans="2:32" x14ac:dyDescent="0.25">
      <c r="P47"/>
      <c r="S47" s="150"/>
      <c r="T47" s="150"/>
      <c r="V47" s="150"/>
    </row>
    <row r="48" spans="2:32" x14ac:dyDescent="0.25">
      <c r="P48"/>
      <c r="S48" s="150"/>
      <c r="T48" s="150"/>
      <c r="V48" s="150"/>
    </row>
    <row r="49" spans="3:22" ht="15.75" x14ac:dyDescent="0.3">
      <c r="D49" s="141"/>
      <c r="P49"/>
      <c r="S49" s="150"/>
      <c r="V49" s="150"/>
    </row>
    <row r="50" spans="3:22" ht="15.75" x14ac:dyDescent="0.3">
      <c r="C50" s="140">
        <v>44837</v>
      </c>
      <c r="D50" s="141">
        <v>69.8125</v>
      </c>
      <c r="E50" s="139"/>
      <c r="P50"/>
      <c r="S50" s="150"/>
      <c r="V50" s="150"/>
    </row>
    <row r="51" spans="3:22" ht="15.75" x14ac:dyDescent="0.3">
      <c r="C51" s="140">
        <v>44838</v>
      </c>
      <c r="D51" s="141">
        <v>68.75</v>
      </c>
      <c r="E51" s="139"/>
      <c r="P51"/>
      <c r="S51" s="150"/>
      <c r="V51" s="150"/>
    </row>
    <row r="52" spans="3:22" ht="15.75" x14ac:dyDescent="0.3">
      <c r="C52" s="140">
        <v>44839</v>
      </c>
      <c r="D52" s="141">
        <v>69.5</v>
      </c>
      <c r="E52" s="139"/>
      <c r="P52"/>
      <c r="S52" s="150"/>
      <c r="V52" s="150"/>
    </row>
    <row r="53" spans="3:22" ht="15.75" x14ac:dyDescent="0.3">
      <c r="C53" s="140">
        <v>44840</v>
      </c>
      <c r="D53" s="141">
        <v>68.625</v>
      </c>
      <c r="E53" s="139"/>
      <c r="P53"/>
      <c r="S53" s="150"/>
      <c r="U53" s="150"/>
      <c r="V53" s="150"/>
    </row>
    <row r="54" spans="3:22" ht="15.75" x14ac:dyDescent="0.3">
      <c r="C54" s="140">
        <v>44845</v>
      </c>
      <c r="D54" s="141">
        <v>69.8125</v>
      </c>
      <c r="E54" s="139"/>
      <c r="P54"/>
      <c r="S54" s="150"/>
      <c r="U54" s="150"/>
      <c r="V54" s="150"/>
    </row>
    <row r="55" spans="3:22" ht="15.75" x14ac:dyDescent="0.3">
      <c r="C55" s="140">
        <v>44846</v>
      </c>
      <c r="D55" s="141">
        <v>69.5625</v>
      </c>
      <c r="E55" s="139"/>
      <c r="P55"/>
      <c r="S55" s="150"/>
      <c r="U55" s="150"/>
      <c r="V55" s="150"/>
    </row>
    <row r="56" spans="3:22" ht="15.75" x14ac:dyDescent="0.3">
      <c r="C56" s="140">
        <v>44847</v>
      </c>
      <c r="D56" s="141">
        <v>69.375</v>
      </c>
      <c r="E56" s="139"/>
      <c r="P56"/>
      <c r="S56" s="150"/>
      <c r="U56" s="150"/>
      <c r="V56" s="150"/>
    </row>
    <row r="57" spans="3:22" ht="15.75" x14ac:dyDescent="0.3">
      <c r="C57" s="140">
        <v>44848</v>
      </c>
      <c r="D57" s="141">
        <v>68.75</v>
      </c>
      <c r="E57" s="139"/>
      <c r="P57"/>
      <c r="S57" s="150"/>
      <c r="U57" s="150"/>
      <c r="V57" s="150"/>
    </row>
    <row r="58" spans="3:22" ht="15.75" x14ac:dyDescent="0.3">
      <c r="C58" s="140">
        <v>44851</v>
      </c>
      <c r="D58" s="141">
        <v>69.4375</v>
      </c>
      <c r="E58" s="139"/>
    </row>
    <row r="59" spans="3:22" ht="15.75" x14ac:dyDescent="0.3">
      <c r="C59" s="140">
        <v>44852</v>
      </c>
      <c r="D59" s="141">
        <v>68.25</v>
      </c>
      <c r="E59" s="139"/>
    </row>
    <row r="60" spans="3:22" ht="15.75" x14ac:dyDescent="0.3">
      <c r="C60" s="140">
        <v>44853</v>
      </c>
      <c r="D60" s="141">
        <v>68.6875</v>
      </c>
      <c r="E60" s="139"/>
    </row>
    <row r="61" spans="3:22" ht="15.75" x14ac:dyDescent="0.3">
      <c r="C61" s="140">
        <v>44854</v>
      </c>
      <c r="D61" s="141">
        <v>68.625</v>
      </c>
      <c r="E61" s="139"/>
    </row>
    <row r="62" spans="3:22" ht="15.75" x14ac:dyDescent="0.3">
      <c r="C62" s="140">
        <v>44855</v>
      </c>
      <c r="D62" s="141">
        <v>69.125</v>
      </c>
      <c r="E62" s="139"/>
    </row>
    <row r="63" spans="3:22" ht="15.75" x14ac:dyDescent="0.3">
      <c r="C63" s="140">
        <v>44858</v>
      </c>
      <c r="D63" s="141">
        <v>69.125</v>
      </c>
      <c r="E63" s="139"/>
    </row>
    <row r="64" spans="3:22" ht="15.75" x14ac:dyDescent="0.3">
      <c r="C64" s="140">
        <v>44859</v>
      </c>
      <c r="D64" s="141">
        <v>68.25</v>
      </c>
      <c r="E64" s="139"/>
    </row>
    <row r="65" spans="3:5" ht="15.75" x14ac:dyDescent="0.3">
      <c r="C65" s="140">
        <v>44860</v>
      </c>
      <c r="D65" s="141">
        <v>69.25</v>
      </c>
      <c r="E65" s="139"/>
    </row>
    <row r="66" spans="3:5" ht="15.75" x14ac:dyDescent="0.3">
      <c r="C66" s="140">
        <v>44861</v>
      </c>
      <c r="D66" s="141">
        <v>68.9375</v>
      </c>
      <c r="E66" s="139"/>
    </row>
    <row r="67" spans="3:5" ht="15" customHeight="1" x14ac:dyDescent="0.3">
      <c r="C67" s="140">
        <v>44862</v>
      </c>
      <c r="D67" s="141">
        <v>68.8125</v>
      </c>
      <c r="E67" s="146"/>
    </row>
    <row r="68" spans="3:5" ht="15" customHeight="1" x14ac:dyDescent="0.3">
      <c r="C68" s="140">
        <v>44865</v>
      </c>
      <c r="D68" s="141">
        <v>69.5</v>
      </c>
      <c r="E68" s="146"/>
    </row>
    <row r="69" spans="3:5" ht="15.75" x14ac:dyDescent="0.3">
      <c r="C69" s="140"/>
      <c r="D69" s="141"/>
      <c r="E69" s="146"/>
    </row>
    <row r="70" spans="3:5" ht="15.75" x14ac:dyDescent="0.3">
      <c r="C70" s="140"/>
      <c r="D70" s="141"/>
      <c r="E70" s="146"/>
    </row>
    <row r="71" spans="3:5" ht="15.75" x14ac:dyDescent="0.3">
      <c r="C71" s="140"/>
      <c r="D71" s="141"/>
      <c r="E71" s="146"/>
    </row>
    <row r="72" spans="3:5" ht="15.75" x14ac:dyDescent="0.3">
      <c r="C72" s="140"/>
      <c r="D72" s="141"/>
      <c r="E72" s="146"/>
    </row>
    <row r="73" spans="3:5" ht="15.75" x14ac:dyDescent="0.3">
      <c r="C73" s="140"/>
      <c r="D73" s="141"/>
      <c r="E73" s="146"/>
    </row>
    <row r="74" spans="3:5" ht="15.75" x14ac:dyDescent="0.3">
      <c r="D74" s="141"/>
      <c r="E74" s="147"/>
    </row>
    <row r="75" spans="3:5" ht="16.5" thickBot="1" x14ac:dyDescent="0.35">
      <c r="D75" s="141"/>
    </row>
    <row r="76" spans="3:5" ht="16.5" thickBot="1" x14ac:dyDescent="0.35">
      <c r="D76" s="141"/>
      <c r="E76" s="142">
        <f>+ROUND((AVERAGE(D50:D68)/100),6)</f>
        <v>0.69062500000000004</v>
      </c>
    </row>
  </sheetData>
  <sheetProtection algorithmName="SHA-512" hashValue="/PL4gfn+YMjLhYN1b/g31GlZW6d160C5Wv582SD97bLOQsP36b2Y7eZod2o4OU6bLXdzHpm7tVoCrwICbJUPQg==" saltValue="mDN5fq5I6T6J3+wTUDo4iQ==" spinCount="100000" sheet="1" selectLockedCells="1"/>
  <mergeCells count="7">
    <mergeCell ref="P41:Z43"/>
    <mergeCell ref="J18:J19"/>
    <mergeCell ref="B17:B18"/>
    <mergeCell ref="P17:T17"/>
    <mergeCell ref="V17:Z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2024-08-29T10:36:34Z</dcterms:modified>
</cp:coreProperties>
</file>