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XIV\"/>
    </mc:Choice>
  </mc:AlternateContent>
  <xr:revisionPtr revIDLastSave="0" documentId="13_ncr:1_{2B70B403-73A9-4DE4-914C-62B79334FB69}" xr6:coauthVersionLast="47" xr6:coauthVersionMax="47" xr10:uidLastSave="{00000000-0000-0000-0000-000000000000}"/>
  <bookViews>
    <workbookView xWindow="-12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V7" i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G20" i="1"/>
  <c r="W20" i="1" s="1"/>
  <c r="M23" i="1"/>
  <c r="M24" i="1"/>
  <c r="B30" i="1"/>
  <c r="O22" i="1"/>
  <c r="U20" i="1"/>
  <c r="M20" i="1"/>
  <c r="O19" i="1"/>
  <c r="Q20" i="1"/>
  <c r="G24" i="1" l="1"/>
  <c r="F13" i="1" l="1"/>
  <c r="S19" i="1"/>
  <c r="AB19" i="1" l="1"/>
  <c r="J20" i="1"/>
  <c r="U31" i="1"/>
  <c r="U32" i="1"/>
  <c r="U33" i="1"/>
  <c r="U34" i="1"/>
  <c r="U35" i="1"/>
  <c r="U19" i="1" l="1"/>
  <c r="Y19" i="1"/>
  <c r="G21" i="1"/>
  <c r="H20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H38" i="1" s="1"/>
  <c r="M32" i="1"/>
  <c r="M33" i="1"/>
  <c r="M34" i="1"/>
  <c r="M35" i="1"/>
  <c r="M36" i="1"/>
  <c r="U21" i="1"/>
  <c r="M21" i="1" s="1"/>
  <c r="M31" i="1"/>
  <c r="AC36" i="1"/>
  <c r="O23" i="1" l="1"/>
  <c r="AC23" i="1" s="1"/>
  <c r="U22" i="1"/>
  <c r="M22" i="1" s="1"/>
  <c r="AC20" i="1"/>
  <c r="Y20" i="1"/>
  <c r="Y21" i="1" s="1"/>
  <c r="H22" i="1" s="1"/>
  <c r="X20" i="1"/>
  <c r="AA20" i="1" s="1"/>
  <c r="H21" i="1"/>
  <c r="S20" i="1"/>
  <c r="AC32" i="1"/>
  <c r="AC35" i="1"/>
  <c r="AC31" i="1"/>
  <c r="AC22" i="1"/>
  <c r="AC21" i="1"/>
  <c r="AC19" i="1"/>
  <c r="AC34" i="1"/>
  <c r="AC33" i="1"/>
  <c r="W22" i="1"/>
  <c r="X22" i="1" s="1"/>
  <c r="AA22" i="1" s="1"/>
  <c r="W21" i="1"/>
  <c r="Y22" i="1" l="1"/>
  <c r="Y23" i="1" s="1"/>
  <c r="Y24" i="1" s="1"/>
  <c r="O24" i="1"/>
  <c r="U23" i="1"/>
  <c r="J21" i="1"/>
  <c r="Q21" i="1"/>
  <c r="H24" i="1"/>
  <c r="S21" i="1"/>
  <c r="J22" i="1" s="1"/>
  <c r="H23" i="1"/>
  <c r="R21" i="1"/>
  <c r="AB21" i="1" s="1"/>
  <c r="W23" i="1"/>
  <c r="X23" i="1" s="1"/>
  <c r="AA23" i="1" s="1"/>
  <c r="I20" i="1"/>
  <c r="I21" i="1" s="1"/>
  <c r="I22" i="1" s="1"/>
  <c r="W24" i="1"/>
  <c r="X24" i="1" s="1"/>
  <c r="AA24" i="1" s="1"/>
  <c r="R20" i="1"/>
  <c r="K20" i="1"/>
  <c r="X21" i="1"/>
  <c r="W25" i="1" l="1"/>
  <c r="X25" i="1" s="1"/>
  <c r="AA25" i="1" s="1"/>
  <c r="H25" i="1"/>
  <c r="Y25" i="1"/>
  <c r="H26" i="1" s="1"/>
  <c r="O25" i="1"/>
  <c r="U24" i="1"/>
  <c r="AC24" i="1"/>
  <c r="Q22" i="1"/>
  <c r="R22" i="1" s="1"/>
  <c r="AB22" i="1" s="1"/>
  <c r="S22" i="1"/>
  <c r="Q23" i="1" s="1"/>
  <c r="R23" i="1" s="1"/>
  <c r="AB23" i="1" s="1"/>
  <c r="K21" i="1"/>
  <c r="K22" i="1" s="1"/>
  <c r="I23" i="1"/>
  <c r="I24" i="1" s="1"/>
  <c r="W26" i="1"/>
  <c r="V26" i="1" s="1"/>
  <c r="AB20" i="1"/>
  <c r="AA21" i="1"/>
  <c r="I25" i="1" l="1"/>
  <c r="O26" i="1"/>
  <c r="U25" i="1"/>
  <c r="M25" i="1" s="1"/>
  <c r="AC25" i="1"/>
  <c r="J23" i="1"/>
  <c r="K23" i="1" s="1"/>
  <c r="S23" i="1"/>
  <c r="X26" i="1"/>
  <c r="Y26" i="1"/>
  <c r="H27" i="1" s="1"/>
  <c r="I26" i="1"/>
  <c r="O27" i="1" l="1"/>
  <c r="U26" i="1"/>
  <c r="M26" i="1" s="1"/>
  <c r="AC26" i="1"/>
  <c r="Q24" i="1"/>
  <c r="R24" i="1" s="1"/>
  <c r="AB24" i="1" s="1"/>
  <c r="J24" i="1"/>
  <c r="S24" i="1"/>
  <c r="W27" i="1"/>
  <c r="V27" i="1" s="1"/>
  <c r="AA26" i="1"/>
  <c r="O28" i="1" l="1"/>
  <c r="U27" i="1"/>
  <c r="M27" i="1" s="1"/>
  <c r="AC27" i="1"/>
  <c r="K24" i="1"/>
  <c r="Q25" i="1"/>
  <c r="R25" i="1" s="1"/>
  <c r="AB25" i="1" s="1"/>
  <c r="S25" i="1"/>
  <c r="J25" i="1"/>
  <c r="I27" i="1"/>
  <c r="X27" i="1"/>
  <c r="Y27" i="1"/>
  <c r="H28" i="1" s="1"/>
  <c r="O29" i="1" l="1"/>
  <c r="U28" i="1"/>
  <c r="M28" i="1" s="1"/>
  <c r="AC28" i="1"/>
  <c r="K25" i="1"/>
  <c r="Q26" i="1"/>
  <c r="P26" i="1" s="1"/>
  <c r="J26" i="1"/>
  <c r="W28" i="1"/>
  <c r="V28" i="1" s="1"/>
  <c r="AA27" i="1"/>
  <c r="O30" i="1" l="1"/>
  <c r="U29" i="1"/>
  <c r="M29" i="1" s="1"/>
  <c r="AC29" i="1"/>
  <c r="K26" i="1"/>
  <c r="R26" i="1"/>
  <c r="S26" i="1"/>
  <c r="I28" i="1"/>
  <c r="U30" i="1" l="1"/>
  <c r="M30" i="1" s="1"/>
  <c r="AC30" i="1"/>
  <c r="AB26" i="1"/>
  <c r="Q27" i="1"/>
  <c r="P27" i="1" s="1"/>
  <c r="J27" i="1"/>
  <c r="Y28" i="1"/>
  <c r="H29" i="1" s="1"/>
  <c r="X28" i="1"/>
  <c r="K27" i="1" l="1"/>
  <c r="R27" i="1"/>
  <c r="S27" i="1"/>
  <c r="W29" i="1"/>
  <c r="V29" i="1" s="1"/>
  <c r="Y29" i="1" s="1"/>
  <c r="H30" i="1" s="1"/>
  <c r="AA28" i="1"/>
  <c r="AB27" i="1" l="1"/>
  <c r="Q28" i="1"/>
  <c r="P28" i="1" s="1"/>
  <c r="J28" i="1"/>
  <c r="W30" i="1"/>
  <c r="X29" i="1"/>
  <c r="C6" i="1" s="1"/>
  <c r="I29" i="1"/>
  <c r="K28" i="1" l="1"/>
  <c r="V30" i="1"/>
  <c r="Y30" i="1" s="1"/>
  <c r="W31" i="1" s="1"/>
  <c r="R28" i="1"/>
  <c r="S28" i="1"/>
  <c r="I30" i="1"/>
  <c r="AA29" i="1"/>
  <c r="AB28" i="1" l="1"/>
  <c r="H31" i="1"/>
  <c r="I31" i="1" s="1"/>
  <c r="X30" i="1"/>
  <c r="AA30" i="1" s="1"/>
  <c r="J29" i="1"/>
  <c r="Q29" i="1"/>
  <c r="P29" i="1" s="1"/>
  <c r="V31" i="1"/>
  <c r="Y31" i="1" s="1"/>
  <c r="W32" i="1" s="1"/>
  <c r="V32" i="1" s="1"/>
  <c r="Y32" i="1" s="1"/>
  <c r="S29" i="1" l="1"/>
  <c r="R29" i="1"/>
  <c r="K29" i="1"/>
  <c r="H32" i="1"/>
  <c r="I32" i="1" s="1"/>
  <c r="X31" i="1"/>
  <c r="AA31" i="1" s="1"/>
  <c r="W33" i="1"/>
  <c r="V33" i="1" s="1"/>
  <c r="Y33" i="1" s="1"/>
  <c r="H33" i="1"/>
  <c r="X32" i="1"/>
  <c r="AA32" i="1" s="1"/>
  <c r="J30" i="1" l="1"/>
  <c r="Q30" i="1"/>
  <c r="P30" i="1" s="1"/>
  <c r="S30" i="1" s="1"/>
  <c r="AB29" i="1"/>
  <c r="I33" i="1"/>
  <c r="X33" i="1"/>
  <c r="AA33" i="1" s="1"/>
  <c r="W34" i="1"/>
  <c r="V34" i="1" s="1"/>
  <c r="Y34" i="1" s="1"/>
  <c r="H34" i="1"/>
  <c r="AA19" i="1" l="1"/>
  <c r="W12" i="1" s="1"/>
  <c r="W13" i="1" s="1"/>
  <c r="W14" i="1" s="1"/>
  <c r="K30" i="1"/>
  <c r="R30" i="1"/>
  <c r="AB30" i="1" s="1"/>
  <c r="P38" i="1"/>
  <c r="J31" i="1"/>
  <c r="I34" i="1"/>
  <c r="X34" i="1"/>
  <c r="AA34" i="1" s="1"/>
  <c r="W35" i="1"/>
  <c r="V35" i="1" s="1"/>
  <c r="Y35" i="1" s="1"/>
  <c r="H35" i="1"/>
  <c r="K31" i="1" l="1"/>
  <c r="I35" i="1"/>
  <c r="W36" i="1"/>
  <c r="H36" i="1"/>
  <c r="X35" i="1"/>
  <c r="AA35" i="1" s="1"/>
  <c r="V36" i="1" l="1"/>
  <c r="V38" i="1" s="1"/>
  <c r="W38" i="1"/>
  <c r="AB31" i="1"/>
  <c r="I36" i="1"/>
  <c r="Y36" i="1"/>
  <c r="H37" i="1" s="1"/>
  <c r="H40" i="1" s="1"/>
  <c r="X36" i="1" l="1"/>
  <c r="X38" i="1" s="1"/>
  <c r="J32" i="1"/>
  <c r="K32" i="1" s="1"/>
  <c r="AA36" i="1"/>
  <c r="AB33" i="1" l="1"/>
  <c r="AB32" i="1" l="1"/>
  <c r="J33" i="1"/>
  <c r="K33" i="1" s="1"/>
  <c r="J34" i="1" l="1"/>
  <c r="K34" i="1" s="1"/>
  <c r="AB34" i="1" l="1"/>
  <c r="J35" i="1" l="1"/>
  <c r="K35" i="1" s="1"/>
  <c r="AB35" i="1" l="1"/>
  <c r="J36" i="1" l="1"/>
  <c r="K36" i="1" s="1"/>
  <c r="Q38" i="1"/>
  <c r="R38" i="1" l="1"/>
  <c r="AB36" i="1" l="1"/>
  <c r="AB37" i="1" s="1"/>
  <c r="AD20" i="1" s="1"/>
  <c r="AD30" i="1" l="1"/>
  <c r="AD29" i="1"/>
  <c r="AD21" i="1"/>
  <c r="AD24" i="1"/>
  <c r="AD27" i="1"/>
  <c r="AD31" i="1"/>
  <c r="AD35" i="1"/>
  <c r="AD23" i="1"/>
  <c r="AD26" i="1"/>
  <c r="AD34" i="1"/>
  <c r="AD36" i="1"/>
  <c r="AD22" i="1"/>
  <c r="AD33" i="1"/>
  <c r="AD19" i="1"/>
  <c r="AD25" i="1"/>
  <c r="AD28" i="1"/>
  <c r="AD32" i="1"/>
  <c r="AD37" i="1" l="1"/>
  <c r="AE31" i="1" s="1"/>
  <c r="AE20" i="1" l="1"/>
  <c r="AE25" i="1"/>
  <c r="AE28" i="1"/>
  <c r="AE22" i="1"/>
  <c r="AE27" i="1"/>
  <c r="AE29" i="1"/>
  <c r="AE21" i="1"/>
  <c r="AE26" i="1"/>
  <c r="AE24" i="1"/>
  <c r="AE19" i="1"/>
  <c r="AE36" i="1"/>
  <c r="AE34" i="1"/>
  <c r="AE30" i="1"/>
  <c r="AE33" i="1"/>
  <c r="AE35" i="1"/>
  <c r="AE23" i="1"/>
  <c r="AE32" i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<sst xmlns="http://schemas.openxmlformats.org/spreadsheetml/2006/main" count="55" uniqueCount="42">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</sst>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2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173" fontId="37" fillId="7" borderId="0" xfId="0" applyNumberFormat="1" applyFon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1103310</xdr:colOff>
      <xdr:row>0</xdr:row>
      <xdr:rowOff>54429</xdr:rowOff>
    </xdr:from>
    <xdr:to>
      <xdr:col>25</xdr:col>
      <xdr:colOff>41256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7185" y="54429"/>
          <a:ext cx="1271571" cy="956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F68"/>
  <sheetViews>
    <sheetView showGridLines="0" tabSelected="1" zoomScale="80" zoomScaleNormal="80" workbookViewId="0">
      <selection activeCell="W10" sqref="W10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17.85546875" style="16" hidden="1" customWidth="1" outlineLevel="1"/>
    <col min="4" max="4" width="22.140625" style="16" hidden="1" customWidth="1" outlineLevel="1"/>
    <col min="5" max="5" width="19.42578125" style="16" hidden="1" customWidth="1" outlineLevel="1"/>
    <col min="6" max="6" width="39.7109375" style="16" hidden="1" customWidth="1" outlineLevel="1"/>
    <col min="7" max="7" width="21.5703125" style="16" hidden="1" customWidth="1" outlineLevel="1"/>
    <col min="8" max="9" width="17.42578125" style="16" hidden="1" customWidth="1" outlineLevel="1"/>
    <col min="10" max="10" width="15.710937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17.5703125" style="16" customWidth="1"/>
    <col min="16" max="16" width="23" style="16" customWidth="1"/>
    <col min="17" max="17" width="17.85546875" style="16" customWidth="1"/>
    <col min="18" max="19" width="17.5703125" style="16" customWidth="1"/>
    <col min="20" max="20" width="17.140625" style="16" customWidth="1"/>
    <col min="21" max="25" width="17.5703125" style="16" customWidth="1"/>
    <col min="26" max="26" width="11.85546875" style="16" customWidth="1"/>
    <col min="27" max="27" width="19.5703125" style="59" hidden="1" customWidth="1" outlineLevel="1"/>
    <col min="28" max="28" width="18.140625" style="59" hidden="1" customWidth="1" outlineLevel="1"/>
    <col min="29" max="29" width="9.7109375" style="16" hidden="1" customWidth="1" outlineLevel="1"/>
    <col min="30" max="30" width="17.28515625" style="16" hidden="1" customWidth="1" outlineLevel="1"/>
    <col min="31" max="31" width="19.42578125" style="16" hidden="1" customWidth="1" outlineLevel="1"/>
    <col min="32" max="32" width="18.85546875" style="16" customWidth="1" collapsed="1"/>
    <col min="33" max="16384" width="18.85546875" style="16"/>
  </cols>
  <sheetData>
    <row r="1" spans="2:29" s="1" customFormat="1" ht="34.5" customHeight="1" x14ac:dyDescent="0.3">
      <c r="O1" s="2" t="s">
        <v>41</v>
      </c>
      <c r="S1" s="3"/>
      <c r="T1" s="4"/>
      <c r="AA1" s="5"/>
      <c r="AB1" s="5"/>
    </row>
    <row r="2" spans="2:29" s="1" customFormat="1" ht="24.75" x14ac:dyDescent="0.3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2:29" s="1" customFormat="1" ht="18.75" customHeight="1" thickBot="1" x14ac:dyDescent="0.3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2:29" s="12" customFormat="1" ht="15.75" thickBot="1" x14ac:dyDescent="0.3">
      <c r="O4" s="17" t="s">
        <v>32</v>
      </c>
      <c r="P4" s="18">
        <v>62001131726</v>
      </c>
      <c r="Q4" s="121"/>
      <c r="R4" s="122"/>
      <c r="S4" s="9"/>
      <c r="W4" s="13"/>
      <c r="X4" s="14"/>
      <c r="Y4" s="15"/>
      <c r="AA4" s="124"/>
      <c r="AB4" s="125"/>
      <c r="AC4" s="126"/>
    </row>
    <row r="5" spans="2:29" s="1" customFormat="1" ht="15.75" thickBot="1" x14ac:dyDescent="0.3">
      <c r="B5" s="19" t="s">
        <v>0</v>
      </c>
      <c r="C5" s="20">
        <f>+XNPV($V$6,R19:R30,O19:O30)</f>
        <v>60115511529.891441</v>
      </c>
      <c r="O5" s="21"/>
      <c r="P5" s="22"/>
      <c r="Q5" s="10"/>
      <c r="S5" s="23"/>
      <c r="X5" s="16"/>
      <c r="Y5" s="24"/>
      <c r="AA5" s="127"/>
      <c r="AB5" s="25"/>
      <c r="AC5" s="10"/>
    </row>
    <row r="6" spans="2:29" s="1" customFormat="1" ht="19.5" thickBot="1" x14ac:dyDescent="0.3">
      <c r="B6" s="19" t="s">
        <v>1</v>
      </c>
      <c r="C6" s="20">
        <f>+XNPV($V$6,X19:X29,U19:U29)</f>
        <v>62819415793.236336</v>
      </c>
      <c r="F6" s="137"/>
      <c r="O6" s="26" t="s">
        <v>2</v>
      </c>
      <c r="P6" s="27"/>
      <c r="Q6" s="10"/>
      <c r="S6" s="34" t="s">
        <v>33</v>
      </c>
      <c r="T6" s="35"/>
      <c r="U6" s="35"/>
      <c r="V6" s="36">
        <v>0.15989999999999999</v>
      </c>
      <c r="W6" s="28" t="s">
        <v>35</v>
      </c>
      <c r="Y6" s="29"/>
      <c r="AA6" s="25"/>
      <c r="AB6" s="25"/>
      <c r="AC6" s="10"/>
    </row>
    <row r="7" spans="2:29" s="1" customFormat="1" ht="15.75" thickBot="1" x14ac:dyDescent="0.3">
      <c r="B7" s="30"/>
      <c r="C7" s="31"/>
      <c r="F7" s="136"/>
      <c r="H7" s="140"/>
      <c r="O7" s="32" t="s">
        <v>3</v>
      </c>
      <c r="P7" s="33">
        <v>0.1</v>
      </c>
      <c r="Q7" s="10"/>
      <c r="S7" s="43" t="s">
        <v>8</v>
      </c>
      <c r="T7" s="44"/>
      <c r="U7" s="44"/>
      <c r="V7" s="128">
        <f>+ROUND((C5/P4)*100,4)</f>
        <v>96.958699999999993</v>
      </c>
      <c r="W7" s="39"/>
      <c r="X7" s="16"/>
      <c r="AA7" s="37"/>
      <c r="AB7" s="37"/>
      <c r="AC7" s="16"/>
    </row>
    <row r="8" spans="2:29" s="1" customFormat="1" x14ac:dyDescent="0.25">
      <c r="B8" s="16" t="s">
        <v>4</v>
      </c>
      <c r="C8" s="16">
        <v>360</v>
      </c>
      <c r="O8" s="32" t="s">
        <v>5</v>
      </c>
      <c r="P8" s="33">
        <v>0.5</v>
      </c>
      <c r="Q8" s="38"/>
      <c r="R8" s="16"/>
      <c r="W8" s="45"/>
      <c r="Y8" s="16"/>
      <c r="AA8" s="37"/>
      <c r="AB8" s="37"/>
      <c r="AC8" s="16"/>
    </row>
    <row r="9" spans="2:29" s="1" customFormat="1" ht="19.5" thickBot="1" x14ac:dyDescent="0.35">
      <c r="O9" s="41" t="s">
        <v>7</v>
      </c>
      <c r="P9" s="42">
        <v>200</v>
      </c>
      <c r="Q9" s="38"/>
      <c r="R9" s="16"/>
      <c r="S9" s="117" t="s">
        <v>36</v>
      </c>
      <c r="T9" s="118"/>
      <c r="U9" s="118"/>
      <c r="V9" s="118"/>
      <c r="W9" s="118"/>
      <c r="X9" s="119"/>
      <c r="AA9" s="37"/>
      <c r="AB9" s="37"/>
      <c r="AC9" s="16"/>
    </row>
    <row r="10" spans="2:29" s="1" customFormat="1" ht="30.75" thickBot="1" x14ac:dyDescent="0.3">
      <c r="O10" s="41" t="s">
        <v>9</v>
      </c>
      <c r="P10" s="46">
        <v>7.56</v>
      </c>
      <c r="Q10" s="10"/>
      <c r="S10" s="120" t="s">
        <v>11</v>
      </c>
      <c r="T10" s="49"/>
      <c r="U10" s="50"/>
      <c r="V10" s="50"/>
      <c r="W10" s="141">
        <v>0.27750000000000002</v>
      </c>
      <c r="X10" s="28" t="s">
        <v>12</v>
      </c>
      <c r="Y10" s="10"/>
      <c r="AA10" s="37"/>
      <c r="AB10" s="37"/>
      <c r="AC10" s="16"/>
    </row>
    <row r="11" spans="2:29" s="1" customFormat="1" ht="15.75" thickBot="1" x14ac:dyDescent="0.3">
      <c r="F11" s="1">
        <v>1245919840</v>
      </c>
      <c r="O11" s="47" t="s">
        <v>10</v>
      </c>
      <c r="P11" s="48">
        <v>310</v>
      </c>
      <c r="Q11" s="142"/>
      <c r="Y11" s="51"/>
      <c r="AA11" s="37"/>
      <c r="AB11" s="37"/>
      <c r="AC11" s="16"/>
    </row>
    <row r="12" spans="2:29" s="1" customFormat="1" ht="15.75" thickBot="1" x14ac:dyDescent="0.3">
      <c r="D12" s="5"/>
      <c r="S12" s="111" t="s">
        <v>13</v>
      </c>
      <c r="T12" s="112"/>
      <c r="U12" s="112"/>
      <c r="V12" s="112"/>
      <c r="W12" s="134">
        <f>+XIRR(AA19:AA30,U19:U30)</f>
        <v>0.40860632061958313</v>
      </c>
      <c r="AA12" s="37"/>
      <c r="AB12" s="37"/>
      <c r="AC12" s="16"/>
    </row>
    <row r="13" spans="2:29" s="1" customFormat="1" ht="19.5" thickBot="1" x14ac:dyDescent="0.3">
      <c r="C13" s="5"/>
      <c r="D13" s="137">
        <v>45591</v>
      </c>
      <c r="E13" s="138">
        <v>10</v>
      </c>
      <c r="F13" s="140">
        <f>+D14-D13</f>
        <v>5</v>
      </c>
      <c r="O13" s="45"/>
      <c r="P13" s="45"/>
      <c r="Q13" s="45"/>
      <c r="S13" s="113" t="s">
        <v>6</v>
      </c>
      <c r="T13" s="114"/>
      <c r="U13" s="114"/>
      <c r="V13" s="115"/>
      <c r="W13" s="116">
        <f>+NOMINAL(W12,12)</f>
        <v>0.34753830483164361</v>
      </c>
      <c r="X13" s="28"/>
      <c r="Y13" s="10"/>
      <c r="AA13" s="25"/>
      <c r="AB13" s="25"/>
      <c r="AC13" s="16"/>
    </row>
    <row r="14" spans="2:29" s="1" customFormat="1" ht="15.75" thickBot="1" x14ac:dyDescent="0.3">
      <c r="C14" s="8"/>
      <c r="D14" s="136">
        <v>45596</v>
      </c>
      <c r="E14" s="8">
        <v>30</v>
      </c>
      <c r="F14" s="8"/>
      <c r="O14" s="131" t="s">
        <v>34</v>
      </c>
      <c r="P14" s="132"/>
      <c r="Q14" s="133">
        <v>45727</v>
      </c>
      <c r="R14" s="10"/>
      <c r="S14" s="43" t="s">
        <v>14</v>
      </c>
      <c r="T14" s="44"/>
      <c r="U14" s="44"/>
      <c r="V14" s="55"/>
      <c r="W14" s="56">
        <f>+W13-W10</f>
        <v>7.0038304831643583E-2</v>
      </c>
      <c r="X14" s="45"/>
      <c r="Y14" s="51"/>
      <c r="AA14" s="25"/>
      <c r="AB14" s="25"/>
      <c r="AC14" s="16"/>
    </row>
    <row r="15" spans="2:29" s="45" customFormat="1" x14ac:dyDescent="0.25">
      <c r="C15" s="52"/>
      <c r="D15" s="85"/>
      <c r="E15" s="52"/>
      <c r="F15" s="52"/>
      <c r="M15" s="53"/>
      <c r="N15" s="53"/>
      <c r="R15" s="53"/>
      <c r="Y15" s="130"/>
      <c r="AA15" s="54"/>
      <c r="AB15" s="54"/>
    </row>
    <row r="16" spans="2:29" ht="16.5" thickBot="1" x14ac:dyDescent="0.3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2:31" ht="16.5" thickBot="1" x14ac:dyDescent="0.3">
      <c r="B17" s="148"/>
      <c r="D17" s="60" t="s">
        <v>16</v>
      </c>
      <c r="E17" s="60"/>
      <c r="G17" s="60"/>
      <c r="H17" s="60" t="s">
        <v>17</v>
      </c>
      <c r="I17" s="60"/>
      <c r="J17" s="60"/>
      <c r="K17" s="60" t="s">
        <v>18</v>
      </c>
      <c r="L17" s="60"/>
      <c r="O17" s="149" t="s">
        <v>38</v>
      </c>
      <c r="P17" s="150"/>
      <c r="Q17" s="150"/>
      <c r="R17" s="150"/>
      <c r="S17" s="151"/>
      <c r="U17" s="149" t="s">
        <v>38</v>
      </c>
      <c r="V17" s="150"/>
      <c r="W17" s="150"/>
      <c r="X17" s="150"/>
      <c r="Y17" s="151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2:31" ht="19.5" thickBot="1" x14ac:dyDescent="0.3">
      <c r="B18" s="148"/>
      <c r="C18" s="64"/>
      <c r="D18" s="60" t="s">
        <v>21</v>
      </c>
      <c r="E18" s="109" t="s">
        <v>11</v>
      </c>
      <c r="F18" s="110" t="s">
        <v>12</v>
      </c>
      <c r="G18" s="148" t="s">
        <v>24</v>
      </c>
      <c r="H18" s="147" t="s">
        <v>25</v>
      </c>
      <c r="I18" s="60" t="s">
        <v>26</v>
      </c>
      <c r="J18" s="147" t="s">
        <v>25</v>
      </c>
      <c r="K18" s="60" t="s">
        <v>26</v>
      </c>
      <c r="L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2:31" ht="15.75" thickBot="1" x14ac:dyDescent="0.3">
      <c r="B19" s="73"/>
      <c r="C19" s="64"/>
      <c r="D19" s="64"/>
      <c r="E19" s="64"/>
      <c r="F19" s="108"/>
      <c r="G19" s="148"/>
      <c r="H19" s="147"/>
      <c r="I19" s="74">
        <v>0</v>
      </c>
      <c r="J19" s="147"/>
      <c r="K19" s="74">
        <v>0</v>
      </c>
      <c r="L19" s="74"/>
      <c r="O19" s="76">
        <f>+Q14</f>
        <v>45727</v>
      </c>
      <c r="P19" s="77"/>
      <c r="Q19" s="77"/>
      <c r="R19" s="78">
        <v>0</v>
      </c>
      <c r="S19" s="79">
        <f>P4</f>
        <v>62001131726</v>
      </c>
      <c r="U19" s="80">
        <f>+Q14</f>
        <v>45727</v>
      </c>
      <c r="V19" s="60"/>
      <c r="W19" s="60"/>
      <c r="X19" s="75">
        <v>0</v>
      </c>
      <c r="Y19" s="81">
        <f>+P4</f>
        <v>62001131726</v>
      </c>
      <c r="AA19" s="82">
        <f>-(V7*Y19/100)</f>
        <v>-60115491306.817162</v>
      </c>
      <c r="AB19" s="83">
        <f>-S19</f>
        <v>-62001131726</v>
      </c>
      <c r="AC19" s="71">
        <f t="shared" ref="AC19:AC28" si="0">+O19-$O$19</f>
        <v>0</v>
      </c>
      <c r="AD19" s="71">
        <f t="shared" ref="AD19:AD36" si="1">+R19/((1+$AB$37)^(AC19/365))</f>
        <v>0</v>
      </c>
      <c r="AE19" s="72">
        <f t="shared" ref="AE19:AE29" si="2">+AD19/$AD$37*AC19</f>
        <v>0</v>
      </c>
    </row>
    <row r="20" spans="2:31" ht="15.75" thickBot="1" x14ac:dyDescent="0.3">
      <c r="B20" s="144">
        <v>51667610</v>
      </c>
      <c r="C20" s="64"/>
      <c r="D20" s="85">
        <v>3</v>
      </c>
      <c r="E20" s="107"/>
      <c r="F20" s="139">
        <f>+W10</f>
        <v>0.27750000000000002</v>
      </c>
      <c r="G20" s="87">
        <f>+MAX($P$7,MIN($P$8,$F20+$P$9/10000))</f>
        <v>0.29750000000000004</v>
      </c>
      <c r="H20" s="74">
        <f>+((G20*Y19)/$C$8)*$D20</f>
        <v>153711139.07070839</v>
      </c>
      <c r="I20" s="74">
        <f t="shared" ref="I20:I36" si="3">+I19+H20-W20</f>
        <v>0</v>
      </c>
      <c r="J20" s="74">
        <f>+(($P$7*S19)/$C$8)*$D20</f>
        <v>51667609.771666668</v>
      </c>
      <c r="K20" s="74">
        <f t="shared" ref="K20:K36" si="4">+K19+J20-Q20</f>
        <v>0</v>
      </c>
      <c r="L20" s="74"/>
      <c r="M20" s="89">
        <f>+U20</f>
        <v>45737</v>
      </c>
      <c r="N20" s="89"/>
      <c r="O20" s="135">
        <v>45737</v>
      </c>
      <c r="P20" s="90">
        <v>0</v>
      </c>
      <c r="Q20" s="90">
        <f>+(($P$7*S19)/$C$8)*$D20</f>
        <v>51667609.771666668</v>
      </c>
      <c r="R20" s="90">
        <f>P20+Q20</f>
        <v>51667609.771666668</v>
      </c>
      <c r="S20" s="91">
        <f>+S19-P20</f>
        <v>62001131726</v>
      </c>
      <c r="U20" s="40">
        <f>+O20</f>
        <v>45737</v>
      </c>
      <c r="V20" s="129">
        <v>0</v>
      </c>
      <c r="W20" s="74">
        <f>+((G20*Y19)/$C$8)*$D20</f>
        <v>153711139.07070839</v>
      </c>
      <c r="X20" s="74">
        <f>+W20+V20</f>
        <v>153711139.07070839</v>
      </c>
      <c r="Y20" s="92">
        <f>+Y19-V20</f>
        <v>62001131726</v>
      </c>
      <c r="AA20" s="93">
        <f>+X20</f>
        <v>153711139.07070839</v>
      </c>
      <c r="AB20" s="94">
        <f t="shared" ref="AB20:AB28" si="5">+R20</f>
        <v>51667609.771666668</v>
      </c>
      <c r="AC20" s="71">
        <f>+O20-$O$19</f>
        <v>10</v>
      </c>
      <c r="AD20" s="71">
        <f>+R20/((1+$AB$37)^(AC20/365))</f>
        <v>51528264.81954705</v>
      </c>
      <c r="AE20" s="72">
        <f>+AD20/$AD$37*AC20</f>
        <v>8.3108587688261546E-3</v>
      </c>
    </row>
    <row r="21" spans="2:31" ht="15.75" thickBot="1" x14ac:dyDescent="0.3">
      <c r="B21" s="144">
        <v>516676098</v>
      </c>
      <c r="C21" s="64"/>
      <c r="D21" s="85">
        <v>30</v>
      </c>
      <c r="E21" s="107"/>
      <c r="F21" s="139">
        <f>+F20</f>
        <v>0.27750000000000002</v>
      </c>
      <c r="G21" s="87">
        <f t="shared" ref="G21:G38" si="6">+MAX($P$7,MIN($P$8,$F21+$P$9/10000))</f>
        <v>0.29750000000000004</v>
      </c>
      <c r="H21" s="74">
        <f t="shared" ref="H21:H37" si="7">+((G21*Y20)/$C$8)*$D21</f>
        <v>1537111390.7070837</v>
      </c>
      <c r="I21" s="74">
        <f t="shared" si="3"/>
        <v>0</v>
      </c>
      <c r="J21" s="74">
        <f t="shared" ref="J21:J36" si="8">+(($P$7*S20)/$C$8)*$D21</f>
        <v>516676097.7166667</v>
      </c>
      <c r="K21" s="74">
        <f t="shared" si="4"/>
        <v>0</v>
      </c>
      <c r="L21" s="74"/>
      <c r="M21" s="89">
        <f t="shared" ref="M21:M30" si="9">+U21</f>
        <v>45762</v>
      </c>
      <c r="N21" s="89"/>
      <c r="O21" s="135">
        <v>45762</v>
      </c>
      <c r="P21" s="90">
        <v>0</v>
      </c>
      <c r="Q21" s="90">
        <f>+(($P$7*S20)/$C$8)*$D21</f>
        <v>516676097.7166667</v>
      </c>
      <c r="R21" s="90">
        <f t="shared" ref="R21:R30" si="10">P21+Q21</f>
        <v>516676097.7166667</v>
      </c>
      <c r="S21" s="91">
        <f t="shared" ref="S21:S27" si="11">+S20-P21</f>
        <v>62001131726</v>
      </c>
      <c r="U21" s="40">
        <f t="shared" ref="U21:U35" si="12">+O21</f>
        <v>45762</v>
      </c>
      <c r="V21" s="129">
        <v>0</v>
      </c>
      <c r="W21" s="74">
        <f t="shared" ref="W21:W36" si="13">+((G21*Y20)/$C$8)*$D21</f>
        <v>1537111390.7070837</v>
      </c>
      <c r="X21" s="74">
        <f>+W21+V21</f>
        <v>1537111390.7070837</v>
      </c>
      <c r="Y21" s="92">
        <f t="shared" ref="Y21:Y36" si="14">+Y20-V21</f>
        <v>62001131726</v>
      </c>
      <c r="AA21" s="93">
        <f>+X21</f>
        <v>1537111390.7070837</v>
      </c>
      <c r="AB21" s="94">
        <f t="shared" si="5"/>
        <v>516676097.7166667</v>
      </c>
      <c r="AC21" s="71">
        <f t="shared" si="0"/>
        <v>35</v>
      </c>
      <c r="AD21" s="71">
        <f t="shared" si="1"/>
        <v>511815443.7566452</v>
      </c>
      <c r="AE21" s="72">
        <f t="shared" si="2"/>
        <v>0.28892279980349511</v>
      </c>
    </row>
    <row r="22" spans="2:31" ht="15.75" thickBot="1" x14ac:dyDescent="0.3">
      <c r="B22" s="144">
        <v>516676098</v>
      </c>
      <c r="C22" s="64"/>
      <c r="D22" s="85">
        <v>30</v>
      </c>
      <c r="E22" s="107"/>
      <c r="F22" s="139">
        <f t="shared" ref="F22:F38" si="15">+F21</f>
        <v>0.27750000000000002</v>
      </c>
      <c r="G22" s="87">
        <f t="shared" si="6"/>
        <v>0.29750000000000004</v>
      </c>
      <c r="H22" s="74">
        <f t="shared" si="7"/>
        <v>1537111390.7070837</v>
      </c>
      <c r="I22" s="74">
        <f t="shared" si="3"/>
        <v>0</v>
      </c>
      <c r="J22" s="74">
        <f t="shared" si="8"/>
        <v>516676097.7166667</v>
      </c>
      <c r="K22" s="74">
        <f t="shared" si="4"/>
        <v>0</v>
      </c>
      <c r="L22" s="74"/>
      <c r="M22" s="89">
        <f t="shared" si="9"/>
        <v>45792</v>
      </c>
      <c r="N22" s="89"/>
      <c r="O22" s="135">
        <f>EDATE(O21,1)</f>
        <v>45792</v>
      </c>
      <c r="P22" s="90">
        <v>0</v>
      </c>
      <c r="Q22" s="90">
        <f t="shared" ref="Q22:Q30" si="16">+(($P$7*S21)/$C$8)*$D22</f>
        <v>516676097.7166667</v>
      </c>
      <c r="R22" s="90">
        <f t="shared" si="10"/>
        <v>516676097.7166667</v>
      </c>
      <c r="S22" s="91">
        <f t="shared" si="11"/>
        <v>62001131726</v>
      </c>
      <c r="U22" s="40">
        <f t="shared" si="12"/>
        <v>45792</v>
      </c>
      <c r="V22" s="129">
        <v>0</v>
      </c>
      <c r="W22" s="74">
        <f t="shared" si="13"/>
        <v>1537111390.7070837</v>
      </c>
      <c r="X22" s="74">
        <f>+W22+V22</f>
        <v>1537111390.7070837</v>
      </c>
      <c r="Y22" s="92">
        <f t="shared" si="14"/>
        <v>62001131726</v>
      </c>
      <c r="Z22" s="74"/>
      <c r="AA22" s="93">
        <f t="shared" ref="AA22:AA28" si="17">+X22</f>
        <v>1537111390.7070837</v>
      </c>
      <c r="AB22" s="94">
        <f t="shared" si="5"/>
        <v>516676097.7166667</v>
      </c>
      <c r="AC22" s="71">
        <f t="shared" si="0"/>
        <v>65</v>
      </c>
      <c r="AD22" s="71">
        <f t="shared" si="1"/>
        <v>507685580.10086203</v>
      </c>
      <c r="AE22" s="72">
        <f t="shared" si="2"/>
        <v>0.53224129717477364</v>
      </c>
    </row>
    <row r="23" spans="2:31" ht="15.75" thickBot="1" x14ac:dyDescent="0.3">
      <c r="B23" s="144">
        <v>516676098</v>
      </c>
      <c r="C23" s="64"/>
      <c r="D23" s="85">
        <v>30</v>
      </c>
      <c r="E23" s="107"/>
      <c r="F23" s="139">
        <f t="shared" si="15"/>
        <v>0.27750000000000002</v>
      </c>
      <c r="G23" s="87">
        <f t="shared" si="6"/>
        <v>0.29750000000000004</v>
      </c>
      <c r="H23" s="74">
        <f t="shared" si="7"/>
        <v>1537111390.7070837</v>
      </c>
      <c r="I23" s="74">
        <f t="shared" si="3"/>
        <v>0</v>
      </c>
      <c r="J23" s="74">
        <f t="shared" si="8"/>
        <v>516676097.7166667</v>
      </c>
      <c r="K23" s="74">
        <f t="shared" si="4"/>
        <v>0</v>
      </c>
      <c r="L23" s="74"/>
      <c r="M23" s="89">
        <f>+U23</f>
        <v>45823</v>
      </c>
      <c r="N23" s="89"/>
      <c r="O23" s="135">
        <f t="shared" ref="O23:O30" si="18">EDATE(O22,1)</f>
        <v>45823</v>
      </c>
      <c r="P23" s="90">
        <v>0</v>
      </c>
      <c r="Q23" s="90">
        <f t="shared" si="16"/>
        <v>516676097.7166667</v>
      </c>
      <c r="R23" s="90">
        <f t="shared" si="10"/>
        <v>516676097.7166667</v>
      </c>
      <c r="S23" s="91">
        <f t="shared" si="11"/>
        <v>62001131726</v>
      </c>
      <c r="U23" s="40">
        <f t="shared" si="12"/>
        <v>45823</v>
      </c>
      <c r="V23" s="129">
        <v>0</v>
      </c>
      <c r="W23" s="74">
        <f t="shared" si="13"/>
        <v>1537111390.7070837</v>
      </c>
      <c r="X23" s="74">
        <f t="shared" ref="X23:X36" si="19">+W23+V23</f>
        <v>1537111390.7070837</v>
      </c>
      <c r="Y23" s="92">
        <f t="shared" si="14"/>
        <v>62001131726</v>
      </c>
      <c r="Z23" s="123"/>
      <c r="AA23" s="93">
        <f t="shared" si="17"/>
        <v>1537111390.7070837</v>
      </c>
      <c r="AB23" s="94">
        <f t="shared" si="5"/>
        <v>516676097.7166667</v>
      </c>
      <c r="AC23" s="71">
        <f t="shared" si="0"/>
        <v>96</v>
      </c>
      <c r="AD23" s="71">
        <f t="shared" si="1"/>
        <v>503453059.96548879</v>
      </c>
      <c r="AE23" s="72">
        <f t="shared" si="2"/>
        <v>0.7795259943351589</v>
      </c>
    </row>
    <row r="24" spans="2:31" ht="15.75" thickBot="1" x14ac:dyDescent="0.3">
      <c r="B24" s="144">
        <v>516676098</v>
      </c>
      <c r="C24" s="64"/>
      <c r="D24" s="85">
        <v>30</v>
      </c>
      <c r="E24" s="107"/>
      <c r="F24" s="139">
        <f t="shared" si="15"/>
        <v>0.27750000000000002</v>
      </c>
      <c r="G24" s="87">
        <f>+MAX($P$7,MIN($P$8,$F24+$P$9/10000))</f>
        <v>0.29750000000000004</v>
      </c>
      <c r="H24" s="74">
        <f>+((G24*Y23)/$C$8)*$D24</f>
        <v>1537111390.7070837</v>
      </c>
      <c r="I24" s="74">
        <f t="shared" si="3"/>
        <v>0</v>
      </c>
      <c r="J24" s="74">
        <f t="shared" si="8"/>
        <v>516676097.7166667</v>
      </c>
      <c r="K24" s="74">
        <f t="shared" si="4"/>
        <v>0</v>
      </c>
      <c r="L24" s="74"/>
      <c r="M24" s="89">
        <f t="shared" si="9"/>
        <v>45853</v>
      </c>
      <c r="N24" s="89"/>
      <c r="O24" s="135">
        <f t="shared" si="18"/>
        <v>45853</v>
      </c>
      <c r="P24" s="90">
        <v>0</v>
      </c>
      <c r="Q24" s="90">
        <f t="shared" si="16"/>
        <v>516676097.7166667</v>
      </c>
      <c r="R24" s="90">
        <f t="shared" si="10"/>
        <v>516676097.7166667</v>
      </c>
      <c r="S24" s="91">
        <f t="shared" si="11"/>
        <v>62001131726</v>
      </c>
      <c r="U24" s="40">
        <f t="shared" si="12"/>
        <v>45853</v>
      </c>
      <c r="V24" s="129">
        <v>0</v>
      </c>
      <c r="W24" s="74">
        <f t="shared" si="13"/>
        <v>1537111390.7070837</v>
      </c>
      <c r="X24" s="74">
        <f t="shared" si="19"/>
        <v>1537111390.7070837</v>
      </c>
      <c r="Y24" s="92">
        <f t="shared" si="14"/>
        <v>62001131726</v>
      </c>
      <c r="AA24" s="93">
        <f t="shared" si="17"/>
        <v>1537111390.7070837</v>
      </c>
      <c r="AB24" s="94">
        <f t="shared" si="5"/>
        <v>516676097.7166667</v>
      </c>
      <c r="AC24" s="71">
        <f t="shared" si="0"/>
        <v>126</v>
      </c>
      <c r="AD24" s="71">
        <f t="shared" si="1"/>
        <v>499390672.79037076</v>
      </c>
      <c r="AE24" s="72">
        <f t="shared" si="2"/>
        <v>1.0148721991457064</v>
      </c>
    </row>
    <row r="25" spans="2:31" ht="15.75" thickBot="1" x14ac:dyDescent="0.3">
      <c r="B25" s="144">
        <v>516676098</v>
      </c>
      <c r="C25" s="64"/>
      <c r="D25" s="85">
        <v>30</v>
      </c>
      <c r="E25" s="107"/>
      <c r="F25" s="139">
        <f t="shared" si="15"/>
        <v>0.27750000000000002</v>
      </c>
      <c r="G25" s="87">
        <f t="shared" si="6"/>
        <v>0.29750000000000004</v>
      </c>
      <c r="H25" s="74">
        <f t="shared" si="7"/>
        <v>1537111390.7070837</v>
      </c>
      <c r="I25" s="74">
        <f t="shared" si="3"/>
        <v>0</v>
      </c>
      <c r="J25" s="74">
        <f t="shared" si="8"/>
        <v>516676097.7166667</v>
      </c>
      <c r="K25" s="74">
        <f t="shared" si="4"/>
        <v>0</v>
      </c>
      <c r="L25" s="74"/>
      <c r="M25" s="89">
        <f t="shared" si="9"/>
        <v>45884</v>
      </c>
      <c r="N25" s="89"/>
      <c r="O25" s="135">
        <f t="shared" si="18"/>
        <v>45884</v>
      </c>
      <c r="P25" s="90">
        <v>0</v>
      </c>
      <c r="Q25" s="90">
        <f t="shared" si="16"/>
        <v>516676097.7166667</v>
      </c>
      <c r="R25" s="90">
        <f>P25+Q25</f>
        <v>516676097.7166667</v>
      </c>
      <c r="S25" s="91">
        <f t="shared" si="11"/>
        <v>62001131726</v>
      </c>
      <c r="U25" s="40">
        <f t="shared" si="12"/>
        <v>45884</v>
      </c>
      <c r="V25" s="129">
        <v>0</v>
      </c>
      <c r="W25" s="74">
        <f t="shared" si="13"/>
        <v>1537111390.7070837</v>
      </c>
      <c r="X25" s="74">
        <f t="shared" si="19"/>
        <v>1537111390.7070837</v>
      </c>
      <c r="Y25" s="92">
        <f t="shared" si="14"/>
        <v>62001131726</v>
      </c>
      <c r="AA25" s="93">
        <f t="shared" si="17"/>
        <v>1537111390.7070837</v>
      </c>
      <c r="AB25" s="94">
        <f t="shared" si="5"/>
        <v>516676097.7166667</v>
      </c>
      <c r="AC25" s="71">
        <f t="shared" si="0"/>
        <v>157</v>
      </c>
      <c r="AD25" s="71">
        <f t="shared" si="1"/>
        <v>495227306.40603709</v>
      </c>
      <c r="AE25" s="72">
        <f t="shared" si="2"/>
        <v>1.2540204526156271</v>
      </c>
    </row>
    <row r="26" spans="2:31" ht="15.75" thickBot="1" x14ac:dyDescent="0.3">
      <c r="B26" s="144">
        <v>17596997695</v>
      </c>
      <c r="C26" s="64"/>
      <c r="D26" s="85">
        <v>30</v>
      </c>
      <c r="E26" s="107"/>
      <c r="F26" s="139">
        <f t="shared" si="15"/>
        <v>0.27750000000000002</v>
      </c>
      <c r="G26" s="87">
        <f t="shared" si="6"/>
        <v>0.29750000000000004</v>
      </c>
      <c r="H26" s="74">
        <f t="shared" si="7"/>
        <v>1537111390.7070837</v>
      </c>
      <c r="I26" s="74">
        <f t="shared" si="3"/>
        <v>0</v>
      </c>
      <c r="J26" s="74">
        <f t="shared" si="8"/>
        <v>516676097.7166667</v>
      </c>
      <c r="K26" s="74">
        <f t="shared" si="4"/>
        <v>0</v>
      </c>
      <c r="L26" s="74"/>
      <c r="M26" s="89">
        <f t="shared" si="9"/>
        <v>45915</v>
      </c>
      <c r="N26" s="89"/>
      <c r="O26" s="135">
        <f t="shared" si="18"/>
        <v>45915</v>
      </c>
      <c r="P26" s="90">
        <f>MIN(B26-Q26,S25)</f>
        <v>17080321597.283333</v>
      </c>
      <c r="Q26" s="90">
        <f t="shared" si="16"/>
        <v>516676097.7166667</v>
      </c>
      <c r="R26" s="90">
        <f t="shared" si="10"/>
        <v>17596997695</v>
      </c>
      <c r="S26" s="91">
        <f t="shared" si="11"/>
        <v>44920810128.716667</v>
      </c>
      <c r="U26" s="40">
        <f t="shared" si="12"/>
        <v>45915</v>
      </c>
      <c r="V26" s="74">
        <f t="shared" ref="V26:V36" si="20">+IF(Y25&gt;0,MIN(B26-W26,Y25),0)</f>
        <v>16059886304.292915</v>
      </c>
      <c r="W26" s="74">
        <f t="shared" si="13"/>
        <v>1537111390.7070837</v>
      </c>
      <c r="X26" s="74">
        <f t="shared" si="19"/>
        <v>17596997695</v>
      </c>
      <c r="Y26" s="92">
        <f t="shared" si="14"/>
        <v>45941245421.707085</v>
      </c>
      <c r="AA26" s="93">
        <f t="shared" si="17"/>
        <v>17596997695</v>
      </c>
      <c r="AB26" s="94">
        <f>+R26</f>
        <v>17596997695</v>
      </c>
      <c r="AC26" s="71">
        <f>+O26-$O$19</f>
        <v>188</v>
      </c>
      <c r="AD26" s="71">
        <f t="shared" si="1"/>
        <v>16725878829.143759</v>
      </c>
      <c r="AE26" s="72">
        <f t="shared" si="2"/>
        <v>50.716255316221982</v>
      </c>
    </row>
    <row r="27" spans="2:31" ht="15.6" customHeight="1" thickBot="1" x14ac:dyDescent="0.3">
      <c r="B27" s="144">
        <v>16221162343</v>
      </c>
      <c r="D27" s="85">
        <v>30</v>
      </c>
      <c r="E27" s="107"/>
      <c r="F27" s="139">
        <f t="shared" si="15"/>
        <v>0.27750000000000002</v>
      </c>
      <c r="G27" s="87">
        <f t="shared" si="6"/>
        <v>0.29750000000000004</v>
      </c>
      <c r="H27" s="74">
        <f t="shared" si="7"/>
        <v>1138960042.7464883</v>
      </c>
      <c r="I27" s="74">
        <f t="shared" si="3"/>
        <v>0</v>
      </c>
      <c r="J27" s="74">
        <f t="shared" si="8"/>
        <v>374340084.40597224</v>
      </c>
      <c r="K27" s="74">
        <f t="shared" si="4"/>
        <v>0</v>
      </c>
      <c r="L27" s="74"/>
      <c r="M27" s="89">
        <f t="shared" si="9"/>
        <v>45945</v>
      </c>
      <c r="N27" s="89"/>
      <c r="O27" s="135">
        <f t="shared" si="18"/>
        <v>45945</v>
      </c>
      <c r="P27" s="90">
        <f>MIN(B27-Q27,S26)</f>
        <v>15846822258.594028</v>
      </c>
      <c r="Q27" s="90">
        <f t="shared" si="16"/>
        <v>374340084.40597224</v>
      </c>
      <c r="R27" s="90">
        <f t="shared" si="10"/>
        <v>16221162343</v>
      </c>
      <c r="S27" s="91">
        <f t="shared" si="11"/>
        <v>29073987870.122639</v>
      </c>
      <c r="U27" s="40">
        <f t="shared" si="12"/>
        <v>45945</v>
      </c>
      <c r="V27" s="74">
        <f t="shared" si="20"/>
        <v>15082202300.253511</v>
      </c>
      <c r="W27" s="74">
        <f t="shared" si="13"/>
        <v>1138960042.7464883</v>
      </c>
      <c r="X27" s="74">
        <f t="shared" si="19"/>
        <v>16221162343</v>
      </c>
      <c r="Y27" s="92">
        <f>+Y26-V27</f>
        <v>30859043121.453575</v>
      </c>
      <c r="AA27" s="93">
        <f t="shared" si="17"/>
        <v>16221162343</v>
      </c>
      <c r="AB27" s="94">
        <f t="shared" si="5"/>
        <v>16221162343</v>
      </c>
      <c r="AC27" s="71">
        <f t="shared" si="0"/>
        <v>218</v>
      </c>
      <c r="AD27" s="71">
        <f t="shared" si="1"/>
        <v>15293742781.393637</v>
      </c>
      <c r="AE27" s="72">
        <f t="shared" si="2"/>
        <v>53.773791551243377</v>
      </c>
    </row>
    <row r="28" spans="2:31" ht="15.75" thickBot="1" x14ac:dyDescent="0.3">
      <c r="B28" s="144">
        <v>13796501582</v>
      </c>
      <c r="D28" s="85">
        <v>30</v>
      </c>
      <c r="E28" s="107"/>
      <c r="F28" s="139">
        <f t="shared" si="15"/>
        <v>0.27750000000000002</v>
      </c>
      <c r="G28" s="87">
        <f t="shared" si="6"/>
        <v>0.29750000000000004</v>
      </c>
      <c r="H28" s="74">
        <f t="shared" si="7"/>
        <v>765047110.71937013</v>
      </c>
      <c r="I28" s="74">
        <f t="shared" si="3"/>
        <v>0</v>
      </c>
      <c r="J28" s="74">
        <f t="shared" si="8"/>
        <v>242283232.25102201</v>
      </c>
      <c r="K28" s="74">
        <f t="shared" si="4"/>
        <v>0</v>
      </c>
      <c r="L28" s="74"/>
      <c r="M28" s="89">
        <f t="shared" si="9"/>
        <v>45976</v>
      </c>
      <c r="N28" s="89"/>
      <c r="O28" s="135">
        <f t="shared" si="18"/>
        <v>45976</v>
      </c>
      <c r="P28" s="90">
        <f>MIN(B28-Q28,S27)</f>
        <v>13554218349.748978</v>
      </c>
      <c r="Q28" s="90">
        <f t="shared" si="16"/>
        <v>242283232.25102201</v>
      </c>
      <c r="R28" s="90">
        <f t="shared" si="10"/>
        <v>13796501582</v>
      </c>
      <c r="S28" s="91">
        <f>+S27-P28</f>
        <v>15519769520.373661</v>
      </c>
      <c r="U28" s="40">
        <f t="shared" si="12"/>
        <v>45976</v>
      </c>
      <c r="V28" s="74">
        <f t="shared" si="20"/>
        <v>13031454471.28063</v>
      </c>
      <c r="W28" s="74">
        <f t="shared" si="13"/>
        <v>765047110.71937013</v>
      </c>
      <c r="X28" s="74">
        <f t="shared" si="19"/>
        <v>13796501582</v>
      </c>
      <c r="Y28" s="92">
        <f>+Y27-V28</f>
        <v>17827588650.172943</v>
      </c>
      <c r="AA28" s="93">
        <f t="shared" si="17"/>
        <v>13796501582</v>
      </c>
      <c r="AB28" s="94">
        <f t="shared" si="5"/>
        <v>13796501582</v>
      </c>
      <c r="AC28" s="71">
        <f t="shared" si="0"/>
        <v>249</v>
      </c>
      <c r="AD28" s="71">
        <f t="shared" si="1"/>
        <v>12899264337.690248</v>
      </c>
      <c r="AE28" s="72">
        <f t="shared" si="2"/>
        <v>51.804164495786374</v>
      </c>
    </row>
    <row r="29" spans="2:31" ht="15.75" thickBot="1" x14ac:dyDescent="0.3">
      <c r="B29" s="144">
        <v>13055298297</v>
      </c>
      <c r="C29" s="64"/>
      <c r="D29" s="85">
        <v>30</v>
      </c>
      <c r="E29" s="107"/>
      <c r="F29" s="139">
        <f t="shared" si="15"/>
        <v>0.27750000000000002</v>
      </c>
      <c r="G29" s="87">
        <f t="shared" si="6"/>
        <v>0.29750000000000004</v>
      </c>
      <c r="H29" s="74">
        <f t="shared" si="7"/>
        <v>441975635.2855376</v>
      </c>
      <c r="I29" s="74">
        <f t="shared" si="3"/>
        <v>0</v>
      </c>
      <c r="J29" s="74">
        <f t="shared" si="8"/>
        <v>129331412.66978052</v>
      </c>
      <c r="K29" s="74">
        <f t="shared" si="4"/>
        <v>0</v>
      </c>
      <c r="L29" s="74"/>
      <c r="M29" s="89">
        <f t="shared" si="9"/>
        <v>46006</v>
      </c>
      <c r="N29" s="89"/>
      <c r="O29" s="135">
        <f t="shared" si="18"/>
        <v>46006</v>
      </c>
      <c r="P29" s="90">
        <f>MIN(B29-Q29,S28)</f>
        <v>12925966884.330219</v>
      </c>
      <c r="Q29" s="90">
        <f t="shared" si="16"/>
        <v>129331412.66978052</v>
      </c>
      <c r="R29" s="90">
        <f t="shared" si="10"/>
        <v>13055298297</v>
      </c>
      <c r="S29" s="91">
        <f>+S28-P29</f>
        <v>2593802636.0434418</v>
      </c>
      <c r="U29" s="40">
        <f t="shared" si="12"/>
        <v>46006</v>
      </c>
      <c r="V29" s="74">
        <f t="shared" si="20"/>
        <v>12613322661.714462</v>
      </c>
      <c r="W29" s="74">
        <f t="shared" si="13"/>
        <v>441975635.2855376</v>
      </c>
      <c r="X29" s="74">
        <f t="shared" si="19"/>
        <v>13055298297</v>
      </c>
      <c r="Y29" s="92">
        <f t="shared" si="14"/>
        <v>5214265988.4584808</v>
      </c>
      <c r="AA29" s="93">
        <f t="shared" ref="AA29:AA36" si="21">+X29</f>
        <v>13055298297</v>
      </c>
      <c r="AB29" s="94">
        <f t="shared" ref="AB29:AB36" si="22">+R29</f>
        <v>13055298297</v>
      </c>
      <c r="AC29" s="71">
        <f t="shared" ref="AC29:AC36" si="23">+O29-$O$19</f>
        <v>279</v>
      </c>
      <c r="AD29" s="71">
        <f>+R29/((1+$AB$37)^(AC29/365))</f>
        <v>12107771290.143833</v>
      </c>
      <c r="AE29" s="72">
        <f t="shared" si="2"/>
        <v>54.483976389380992</v>
      </c>
    </row>
    <row r="30" spans="2:31" ht="15.75" thickBot="1" x14ac:dyDescent="0.3">
      <c r="B30" s="145">
        <f>2615417658+9066048268</f>
        <v>11681465926</v>
      </c>
      <c r="C30" s="64"/>
      <c r="D30" s="85">
        <v>30</v>
      </c>
      <c r="E30" s="107"/>
      <c r="F30" s="139">
        <f t="shared" si="15"/>
        <v>0.27750000000000002</v>
      </c>
      <c r="G30" s="87">
        <f t="shared" si="6"/>
        <v>0.29750000000000004</v>
      </c>
      <c r="H30" s="74">
        <f t="shared" si="7"/>
        <v>129270344.29719986</v>
      </c>
      <c r="I30" s="74">
        <f t="shared" si="3"/>
        <v>0</v>
      </c>
      <c r="J30" s="74">
        <f t="shared" si="8"/>
        <v>21615021.967028681</v>
      </c>
      <c r="K30" s="74">
        <f t="shared" si="4"/>
        <v>0</v>
      </c>
      <c r="L30" s="74"/>
      <c r="M30" s="89">
        <f t="shared" si="9"/>
        <v>46037</v>
      </c>
      <c r="N30" s="89"/>
      <c r="O30" s="135">
        <f t="shared" si="18"/>
        <v>46037</v>
      </c>
      <c r="P30" s="90">
        <f>MIN(B30-Q30,S29)</f>
        <v>2593802636.0434418</v>
      </c>
      <c r="Q30" s="90">
        <f t="shared" si="16"/>
        <v>21615021.967028681</v>
      </c>
      <c r="R30" s="90">
        <f t="shared" si="10"/>
        <v>2615417658.0104704</v>
      </c>
      <c r="S30" s="91">
        <f>+S29-P30</f>
        <v>0</v>
      </c>
      <c r="U30" s="40">
        <f t="shared" si="12"/>
        <v>46037</v>
      </c>
      <c r="V30" s="74">
        <f t="shared" si="20"/>
        <v>5214265988.4584808</v>
      </c>
      <c r="W30" s="74">
        <f t="shared" si="13"/>
        <v>129270344.29719986</v>
      </c>
      <c r="X30" s="74">
        <f t="shared" si="19"/>
        <v>5343536332.755681</v>
      </c>
      <c r="Y30" s="92">
        <f t="shared" si="14"/>
        <v>0</v>
      </c>
      <c r="AA30" s="93">
        <f t="shared" si="21"/>
        <v>5343536332.755681</v>
      </c>
      <c r="AB30" s="94">
        <f t="shared" si="22"/>
        <v>2615417658.0104704</v>
      </c>
      <c r="AC30" s="71">
        <f t="shared" si="23"/>
        <v>310</v>
      </c>
      <c r="AD30" s="71">
        <f>+R30/((1+$AB$37)^(AC30/365))</f>
        <v>2405374029.0326748</v>
      </c>
      <c r="AE30" s="72">
        <f t="shared" ref="AE30:AE36" si="24">+AD30/$AD$37*AC30</f>
        <v>12.026650640314097</v>
      </c>
    </row>
    <row r="31" spans="2:31" ht="15.75" hidden="1" thickBot="1" x14ac:dyDescent="0.3">
      <c r="B31" s="84"/>
      <c r="C31" s="64"/>
      <c r="D31" s="85">
        <v>30</v>
      </c>
      <c r="E31" s="107"/>
      <c r="F31" s="139">
        <f t="shared" si="15"/>
        <v>0.27750000000000002</v>
      </c>
      <c r="G31" s="87">
        <f t="shared" si="6"/>
        <v>0.29750000000000004</v>
      </c>
      <c r="H31" s="74">
        <f t="shared" si="7"/>
        <v>0</v>
      </c>
      <c r="I31" s="74">
        <f t="shared" si="3"/>
        <v>0</v>
      </c>
      <c r="J31" s="74">
        <f t="shared" si="8"/>
        <v>0</v>
      </c>
      <c r="K31" s="74">
        <f t="shared" si="4"/>
        <v>0</v>
      </c>
      <c r="L31" s="74"/>
      <c r="M31" s="89">
        <f t="shared" ref="M31:M36" si="25">+U31</f>
        <v>45976</v>
      </c>
      <c r="N31" s="89"/>
      <c r="O31" s="135">
        <v>45976</v>
      </c>
      <c r="P31" s="90"/>
      <c r="Q31" s="90"/>
      <c r="R31" s="90"/>
      <c r="S31" s="91"/>
      <c r="U31" s="40">
        <f t="shared" si="12"/>
        <v>45976</v>
      </c>
      <c r="V31" s="74">
        <f t="shared" si="20"/>
        <v>0</v>
      </c>
      <c r="W31" s="74">
        <f t="shared" si="13"/>
        <v>0</v>
      </c>
      <c r="X31" s="74">
        <f t="shared" si="19"/>
        <v>0</v>
      </c>
      <c r="Y31" s="92">
        <f t="shared" si="14"/>
        <v>0</v>
      </c>
      <c r="AA31" s="93">
        <f t="shared" si="21"/>
        <v>0</v>
      </c>
      <c r="AB31" s="94">
        <f t="shared" si="22"/>
        <v>0</v>
      </c>
      <c r="AC31" s="71">
        <f t="shared" si="23"/>
        <v>249</v>
      </c>
      <c r="AD31" s="71">
        <f t="shared" si="1"/>
        <v>0</v>
      </c>
      <c r="AE31" s="72">
        <f t="shared" si="24"/>
        <v>0</v>
      </c>
    </row>
    <row r="32" spans="2:31" ht="15.75" hidden="1" thickBot="1" x14ac:dyDescent="0.3">
      <c r="B32" s="84"/>
      <c r="C32" s="64"/>
      <c r="D32" s="85">
        <v>30</v>
      </c>
      <c r="E32" s="107"/>
      <c r="F32" s="139">
        <f t="shared" si="15"/>
        <v>0.27750000000000002</v>
      </c>
      <c r="G32" s="87">
        <f t="shared" si="6"/>
        <v>0.29750000000000004</v>
      </c>
      <c r="H32" s="74">
        <f t="shared" si="7"/>
        <v>0</v>
      </c>
      <c r="I32" s="74">
        <f t="shared" si="3"/>
        <v>0</v>
      </c>
      <c r="J32" s="74">
        <f t="shared" si="8"/>
        <v>0</v>
      </c>
      <c r="K32" s="74">
        <f t="shared" si="4"/>
        <v>0</v>
      </c>
      <c r="L32" s="74"/>
      <c r="M32" s="89">
        <f t="shared" si="25"/>
        <v>46006</v>
      </c>
      <c r="N32" s="89"/>
      <c r="O32" s="135">
        <v>46006</v>
      </c>
      <c r="P32" s="90"/>
      <c r="Q32" s="90"/>
      <c r="R32" s="90"/>
      <c r="S32" s="91"/>
      <c r="U32" s="40">
        <f t="shared" si="12"/>
        <v>46006</v>
      </c>
      <c r="V32" s="74">
        <f t="shared" si="20"/>
        <v>0</v>
      </c>
      <c r="W32" s="74">
        <f t="shared" si="13"/>
        <v>0</v>
      </c>
      <c r="X32" s="74">
        <f t="shared" si="19"/>
        <v>0</v>
      </c>
      <c r="Y32" s="92">
        <f t="shared" si="14"/>
        <v>0</v>
      </c>
      <c r="AA32" s="93">
        <f t="shared" si="21"/>
        <v>0</v>
      </c>
      <c r="AB32" s="94">
        <f t="shared" si="22"/>
        <v>0</v>
      </c>
      <c r="AC32" s="71">
        <f t="shared" si="23"/>
        <v>279</v>
      </c>
      <c r="AD32" s="71">
        <f t="shared" si="1"/>
        <v>0</v>
      </c>
      <c r="AE32" s="72">
        <f t="shared" si="24"/>
        <v>0</v>
      </c>
    </row>
    <row r="33" spans="2:31" ht="15.75" hidden="1" thickBot="1" x14ac:dyDescent="0.3">
      <c r="B33" s="84"/>
      <c r="C33" s="64"/>
      <c r="D33" s="85">
        <v>30</v>
      </c>
      <c r="E33" s="107"/>
      <c r="F33" s="139">
        <f t="shared" si="15"/>
        <v>0.27750000000000002</v>
      </c>
      <c r="G33" s="87">
        <f t="shared" si="6"/>
        <v>0.29750000000000004</v>
      </c>
      <c r="H33" s="74">
        <f t="shared" si="7"/>
        <v>0</v>
      </c>
      <c r="I33" s="74">
        <f t="shared" si="3"/>
        <v>0</v>
      </c>
      <c r="J33" s="74">
        <f t="shared" si="8"/>
        <v>0</v>
      </c>
      <c r="K33" s="74">
        <f t="shared" si="4"/>
        <v>0</v>
      </c>
      <c r="L33" s="74"/>
      <c r="M33" s="89">
        <f t="shared" si="25"/>
        <v>46037</v>
      </c>
      <c r="N33" s="89"/>
      <c r="O33" s="135">
        <v>46037</v>
      </c>
      <c r="P33" s="90"/>
      <c r="Q33" s="90"/>
      <c r="R33" s="90"/>
      <c r="S33" s="91"/>
      <c r="U33" s="40">
        <f t="shared" si="12"/>
        <v>46037</v>
      </c>
      <c r="V33" s="74">
        <f t="shared" si="20"/>
        <v>0</v>
      </c>
      <c r="W33" s="74">
        <f t="shared" si="13"/>
        <v>0</v>
      </c>
      <c r="X33" s="74">
        <f t="shared" si="19"/>
        <v>0</v>
      </c>
      <c r="Y33" s="92">
        <f t="shared" si="14"/>
        <v>0</v>
      </c>
      <c r="AA33" s="93">
        <f t="shared" si="21"/>
        <v>0</v>
      </c>
      <c r="AB33" s="94">
        <f t="shared" si="22"/>
        <v>0</v>
      </c>
      <c r="AC33" s="71">
        <f t="shared" si="23"/>
        <v>310</v>
      </c>
      <c r="AD33" s="71">
        <f t="shared" si="1"/>
        <v>0</v>
      </c>
      <c r="AE33" s="72">
        <f t="shared" si="24"/>
        <v>0</v>
      </c>
    </row>
    <row r="34" spans="2:31" ht="15.75" hidden="1" thickBot="1" x14ac:dyDescent="0.3">
      <c r="B34" s="84"/>
      <c r="C34" s="64"/>
      <c r="D34" s="85">
        <v>30</v>
      </c>
      <c r="E34" s="107"/>
      <c r="F34" s="139">
        <f t="shared" si="15"/>
        <v>0.27750000000000002</v>
      </c>
      <c r="G34" s="87">
        <f t="shared" si="6"/>
        <v>0.29750000000000004</v>
      </c>
      <c r="H34" s="74">
        <f t="shared" si="7"/>
        <v>0</v>
      </c>
      <c r="I34" s="74">
        <f t="shared" si="3"/>
        <v>0</v>
      </c>
      <c r="J34" s="74">
        <f t="shared" si="8"/>
        <v>0</v>
      </c>
      <c r="K34" s="74">
        <f t="shared" si="4"/>
        <v>0</v>
      </c>
      <c r="L34" s="74"/>
      <c r="M34" s="89">
        <f>+U34+2</f>
        <v>46070</v>
      </c>
      <c r="N34" s="89"/>
      <c r="O34" s="135">
        <v>46068</v>
      </c>
      <c r="P34" s="90"/>
      <c r="Q34" s="90"/>
      <c r="R34" s="90"/>
      <c r="S34" s="91"/>
      <c r="U34" s="40">
        <f t="shared" si="12"/>
        <v>46068</v>
      </c>
      <c r="V34" s="74">
        <f t="shared" si="20"/>
        <v>0</v>
      </c>
      <c r="W34" s="74">
        <f t="shared" si="13"/>
        <v>0</v>
      </c>
      <c r="X34" s="74">
        <f t="shared" si="19"/>
        <v>0</v>
      </c>
      <c r="Y34" s="92">
        <f t="shared" si="14"/>
        <v>0</v>
      </c>
      <c r="AA34" s="93">
        <f t="shared" si="21"/>
        <v>0</v>
      </c>
      <c r="AB34" s="94">
        <f t="shared" si="22"/>
        <v>0</v>
      </c>
      <c r="AC34" s="71">
        <f t="shared" si="23"/>
        <v>341</v>
      </c>
      <c r="AD34" s="71">
        <f t="shared" si="1"/>
        <v>0</v>
      </c>
      <c r="AE34" s="72">
        <f t="shared" si="24"/>
        <v>0</v>
      </c>
    </row>
    <row r="35" spans="2:31" ht="15.75" hidden="1" thickBot="1" x14ac:dyDescent="0.3">
      <c r="B35" s="84"/>
      <c r="C35" s="64"/>
      <c r="D35" s="85">
        <v>30</v>
      </c>
      <c r="E35" s="107"/>
      <c r="F35" s="139">
        <f t="shared" si="15"/>
        <v>0.27750000000000002</v>
      </c>
      <c r="G35" s="87">
        <f t="shared" si="6"/>
        <v>0.29750000000000004</v>
      </c>
      <c r="H35" s="74">
        <f t="shared" si="7"/>
        <v>0</v>
      </c>
      <c r="I35" s="74">
        <f t="shared" si="3"/>
        <v>0</v>
      </c>
      <c r="J35" s="74">
        <f t="shared" si="8"/>
        <v>0</v>
      </c>
      <c r="K35" s="74">
        <f t="shared" si="4"/>
        <v>0</v>
      </c>
      <c r="L35" s="74"/>
      <c r="M35" s="89">
        <f t="shared" si="25"/>
        <v>46096</v>
      </c>
      <c r="N35" s="89"/>
      <c r="O35" s="135">
        <v>46096</v>
      </c>
      <c r="P35" s="90"/>
      <c r="Q35" s="90"/>
      <c r="R35" s="90"/>
      <c r="S35" s="91"/>
      <c r="U35" s="40">
        <f t="shared" si="12"/>
        <v>46096</v>
      </c>
      <c r="V35" s="74">
        <f t="shared" si="20"/>
        <v>0</v>
      </c>
      <c r="W35" s="74">
        <f t="shared" si="13"/>
        <v>0</v>
      </c>
      <c r="X35" s="74">
        <f t="shared" si="19"/>
        <v>0</v>
      </c>
      <c r="Y35" s="92">
        <f t="shared" si="14"/>
        <v>0</v>
      </c>
      <c r="AA35" s="93">
        <f t="shared" si="21"/>
        <v>0</v>
      </c>
      <c r="AB35" s="94">
        <f t="shared" si="22"/>
        <v>0</v>
      </c>
      <c r="AC35" s="71">
        <f t="shared" si="23"/>
        <v>369</v>
      </c>
      <c r="AD35" s="71">
        <f t="shared" si="1"/>
        <v>0</v>
      </c>
      <c r="AE35" s="72">
        <f t="shared" si="24"/>
        <v>0</v>
      </c>
    </row>
    <row r="36" spans="2:31" ht="15.75" hidden="1" thickBot="1" x14ac:dyDescent="0.3">
      <c r="B36" s="84"/>
      <c r="C36" s="64"/>
      <c r="D36" s="85">
        <v>30</v>
      </c>
      <c r="E36" s="107"/>
      <c r="F36" s="139">
        <f t="shared" si="15"/>
        <v>0.27750000000000002</v>
      </c>
      <c r="G36" s="87">
        <f t="shared" si="6"/>
        <v>0.29750000000000004</v>
      </c>
      <c r="H36" s="74">
        <f t="shared" si="7"/>
        <v>0</v>
      </c>
      <c r="I36" s="74">
        <f t="shared" si="3"/>
        <v>0</v>
      </c>
      <c r="J36" s="74">
        <f t="shared" si="8"/>
        <v>0</v>
      </c>
      <c r="K36" s="74">
        <f t="shared" si="4"/>
        <v>0</v>
      </c>
      <c r="L36" s="74"/>
      <c r="M36" s="89">
        <f t="shared" si="25"/>
        <v>0</v>
      </c>
      <c r="N36" s="89"/>
      <c r="O36" s="135"/>
      <c r="P36" s="90"/>
      <c r="Q36" s="90"/>
      <c r="R36" s="90"/>
      <c r="S36" s="91"/>
      <c r="U36" s="40"/>
      <c r="V36" s="74">
        <f t="shared" si="20"/>
        <v>0</v>
      </c>
      <c r="W36" s="74">
        <f t="shared" si="13"/>
        <v>0</v>
      </c>
      <c r="X36" s="74">
        <f t="shared" si="19"/>
        <v>0</v>
      </c>
      <c r="Y36" s="92">
        <f t="shared" si="14"/>
        <v>0</v>
      </c>
      <c r="AA36" s="93">
        <f t="shared" si="21"/>
        <v>0</v>
      </c>
      <c r="AB36" s="94">
        <f t="shared" si="22"/>
        <v>0</v>
      </c>
      <c r="AC36" s="71">
        <f t="shared" si="23"/>
        <v>-45727</v>
      </c>
      <c r="AD36" s="71">
        <f t="shared" si="1"/>
        <v>0</v>
      </c>
      <c r="AE36" s="72">
        <f t="shared" si="24"/>
        <v>0</v>
      </c>
    </row>
    <row r="37" spans="2:31" ht="15.75" hidden="1" thickBot="1" x14ac:dyDescent="0.3">
      <c r="B37" s="84"/>
      <c r="C37" s="64"/>
      <c r="D37" s="85"/>
      <c r="E37" s="85"/>
      <c r="F37" s="139">
        <f t="shared" si="15"/>
        <v>0.27750000000000002</v>
      </c>
      <c r="G37" s="87">
        <f t="shared" si="6"/>
        <v>0.29750000000000004</v>
      </c>
      <c r="H37" s="74">
        <f t="shared" si="7"/>
        <v>0</v>
      </c>
      <c r="I37" s="74"/>
      <c r="J37" s="74"/>
      <c r="K37" s="74"/>
      <c r="L37" s="74"/>
      <c r="O37" s="135"/>
      <c r="P37" s="90"/>
      <c r="Q37" s="90"/>
      <c r="R37" s="90"/>
      <c r="S37" s="91"/>
      <c r="U37" s="40"/>
      <c r="V37" s="74"/>
      <c r="W37" s="74"/>
      <c r="X37" s="74"/>
      <c r="Y37" s="92"/>
      <c r="AA37" s="99"/>
      <c r="AB37" s="100">
        <f>+XIRR(AB19:AB36,O19:O36)</f>
        <v>0.10359347462654112</v>
      </c>
      <c r="AC37" s="101"/>
      <c r="AD37" s="102">
        <f>SUM(AD19:AD36)</f>
        <v>62001131595.243111</v>
      </c>
      <c r="AE37" s="103"/>
    </row>
    <row r="38" spans="2:31" ht="15.75" thickBot="1" x14ac:dyDescent="0.3">
      <c r="B38" s="64"/>
      <c r="C38" s="64"/>
      <c r="D38" s="85"/>
      <c r="E38" s="85"/>
      <c r="F38" s="139">
        <f t="shared" si="15"/>
        <v>0.27750000000000002</v>
      </c>
      <c r="G38" s="87">
        <f t="shared" si="6"/>
        <v>0.29750000000000004</v>
      </c>
      <c r="H38" s="74">
        <f>+((G38*Y38)/$C$8)*$D38</f>
        <v>0</v>
      </c>
      <c r="I38" s="74"/>
      <c r="J38" s="74"/>
      <c r="K38" s="74"/>
      <c r="L38" s="74"/>
      <c r="O38" s="95" t="s">
        <v>29</v>
      </c>
      <c r="P38" s="96">
        <f>SUM(P20:P36)</f>
        <v>62001131726</v>
      </c>
      <c r="Q38" s="96">
        <f>+SUM(Q20:Q36)</f>
        <v>3919293947.3654704</v>
      </c>
      <c r="R38" s="96">
        <f>+SUM(R20:R36)</f>
        <v>65920425673.365463</v>
      </c>
      <c r="S38" s="97"/>
      <c r="U38" s="98" t="s">
        <v>29</v>
      </c>
      <c r="V38" s="96">
        <f>+SUM(V20:V36)</f>
        <v>62001131726</v>
      </c>
      <c r="W38" s="96">
        <f>+SUM(W20:W36)</f>
        <v>11851632616.361805</v>
      </c>
      <c r="X38" s="96">
        <f>+SUM(X20:X36)</f>
        <v>73852764342.361801</v>
      </c>
      <c r="Y38" s="97"/>
      <c r="AA38" s="104"/>
      <c r="AB38" s="104"/>
    </row>
    <row r="39" spans="2:31" x14ac:dyDescent="0.25">
      <c r="B39" s="84"/>
      <c r="C39" s="64"/>
      <c r="D39" s="105"/>
      <c r="E39" s="105"/>
      <c r="F39" s="86"/>
      <c r="G39" s="87"/>
      <c r="H39" s="74"/>
      <c r="I39" s="74"/>
      <c r="J39" s="74"/>
      <c r="K39" s="74"/>
      <c r="L39" s="74"/>
      <c r="U39" s="64"/>
      <c r="V39" s="74"/>
      <c r="W39" s="74"/>
      <c r="X39" s="74"/>
      <c r="Y39" s="88"/>
      <c r="AA39" s="104"/>
      <c r="AD39" s="88"/>
    </row>
    <row r="40" spans="2:31" ht="15" customHeight="1" x14ac:dyDescent="0.25">
      <c r="B40" s="106"/>
      <c r="H40" s="106">
        <f>+SUM(H20:H39)</f>
        <v>11851632616.361805</v>
      </c>
    </row>
    <row r="41" spans="2:31" x14ac:dyDescent="0.25">
      <c r="O41" s="146" t="s">
        <v>40</v>
      </c>
      <c r="P41" s="146"/>
      <c r="Q41" s="146"/>
      <c r="R41" s="146"/>
      <c r="S41" s="146"/>
      <c r="T41" s="146"/>
      <c r="U41" s="146"/>
      <c r="V41" s="146"/>
      <c r="W41" s="146"/>
      <c r="X41" s="146"/>
      <c r="Y41" s="146"/>
    </row>
    <row r="42" spans="2:31" x14ac:dyDescent="0.25"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</row>
    <row r="43" spans="2:31" x14ac:dyDescent="0.25"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</row>
    <row r="47" spans="2:31" x14ac:dyDescent="0.25">
      <c r="O47"/>
      <c r="R47" s="143"/>
      <c r="S47" s="143"/>
      <c r="U47" s="143"/>
    </row>
    <row r="48" spans="2:31" x14ac:dyDescent="0.25">
      <c r="O48"/>
      <c r="R48" s="143"/>
      <c r="S48" s="143"/>
      <c r="U48" s="143"/>
    </row>
    <row r="49" spans="15:21" x14ac:dyDescent="0.25">
      <c r="O49"/>
      <c r="R49" s="143"/>
      <c r="U49" s="143"/>
    </row>
    <row r="50" spans="15:21" x14ac:dyDescent="0.25">
      <c r="O50"/>
      <c r="R50" s="143"/>
      <c r="U50" s="143"/>
    </row>
    <row r="51" spans="15:21" x14ac:dyDescent="0.25">
      <c r="O51"/>
      <c r="R51" s="143"/>
      <c r="U51" s="143"/>
    </row>
    <row r="52" spans="15:21" x14ac:dyDescent="0.25">
      <c r="O52"/>
      <c r="R52" s="143"/>
      <c r="U52" s="143"/>
    </row>
    <row r="53" spans="15:21" x14ac:dyDescent="0.25">
      <c r="O53"/>
      <c r="R53" s="143"/>
      <c r="T53" s="143"/>
      <c r="U53" s="143"/>
    </row>
    <row r="54" spans="15:21" x14ac:dyDescent="0.25">
      <c r="O54"/>
      <c r="R54" s="143"/>
      <c r="T54" s="143"/>
      <c r="U54" s="143"/>
    </row>
    <row r="55" spans="15:21" x14ac:dyDescent="0.25">
      <c r="O55"/>
      <c r="R55" s="143"/>
      <c r="T55" s="143"/>
      <c r="U55" s="143"/>
    </row>
    <row r="56" spans="15:21" x14ac:dyDescent="0.25">
      <c r="O56"/>
      <c r="R56" s="143"/>
      <c r="T56" s="143"/>
      <c r="U56" s="143"/>
    </row>
    <row r="57" spans="15:21" x14ac:dyDescent="0.25">
      <c r="O57"/>
      <c r="R57" s="143"/>
      <c r="T57" s="143"/>
      <c r="U57" s="143"/>
    </row>
    <row r="67" ht="15" customHeight="1" x14ac:dyDescent="0.25"/>
    <row r="68" ht="15" customHeight="1" x14ac:dyDescent="0.25"/>
  </sheetData>
  <sheetProtection algorithmName="SHA-512" hashValue="BqrS1fLPYfbdSIEnIhYuv5Ztag2OoU8C20zVbyYqyeQJZRZX4kTpwN09EhiYdg/ZIm2GNI1CsqWKCUGwZ1o1EA==" saltValue="qx+L77RynRIZJX0nZSNSlA==" spinCount="100000" sheet="1" selectLockedCells="1"/>
  <mergeCells count="7">
    <mergeCell ref="O41:Y43"/>
    <mergeCell ref="J18:J19"/>
    <mergeCell ref="B17:B18"/>
    <mergeCell ref="O17:S17"/>
    <mergeCell ref="U17:Y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2018-11-09T18:31:28Z</dcterms:created>
  <dcterms:modified xsi:type="dcterms:W3CDTF">2025-03-07T14:32:17Z</dcterms:modified>
</cp:coreProperties>
</file>