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CR\ON Clase Q\"/>
    </mc:Choice>
  </mc:AlternateContent>
  <xr:revisionPtr revIDLastSave="0" documentId="13_ncr:1_{75A8CEDB-F5FE-4BC6-935C-24D320F7E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PCR Clase Q" sheetId="6" r:id="rId1"/>
    <sheet name="Hoja1" sheetId="7" state="hidden" r:id="rId2"/>
  </sheets>
  <definedNames>
    <definedName name="_xlnm.Print_Area" localSheetId="0">'ON PCR Clase Q'!$A$6:$P$26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D27" i="6" l="1"/>
  <c r="D26" i="6"/>
  <c r="D25" i="6"/>
  <c r="D24" i="6"/>
  <c r="D23" i="6"/>
  <c r="D30" i="6"/>
  <c r="AB10" i="7" l="1"/>
  <c r="Z14" i="7"/>
  <c r="AA10" i="7"/>
  <c r="D32" i="6"/>
  <c r="D31" i="6"/>
  <c r="D28" i="6"/>
  <c r="AB11" i="7" l="1"/>
  <c r="AA14" i="7"/>
  <c r="H32" i="6"/>
  <c r="F31" i="6"/>
  <c r="F30" i="6"/>
  <c r="F28" i="6"/>
  <c r="D22" i="6"/>
  <c r="H26" i="6"/>
  <c r="H27" i="6"/>
  <c r="D29" i="6"/>
  <c r="F29" i="6" s="1"/>
  <c r="D21" i="6"/>
  <c r="B20" i="6"/>
  <c r="D20" i="6" s="1"/>
  <c r="C32" i="6"/>
  <c r="C31" i="6"/>
  <c r="C30" i="6"/>
  <c r="C29" i="6"/>
  <c r="C28" i="6"/>
  <c r="AB14" i="7" l="1"/>
  <c r="H31" i="6"/>
  <c r="H30" i="6"/>
  <c r="H28" i="6"/>
  <c r="H29" i="6"/>
  <c r="H25" i="6"/>
  <c r="H24" i="6"/>
  <c r="H23" i="6"/>
  <c r="H22" i="6"/>
  <c r="H21" i="6"/>
  <c r="F32" i="6"/>
  <c r="C27" i="6" l="1"/>
  <c r="C24" i="6" l="1"/>
  <c r="C25" i="6"/>
  <c r="F20" i="6" l="1"/>
  <c r="O29" i="6" l="1"/>
  <c r="O31" i="6"/>
  <c r="O30" i="6"/>
  <c r="O32" i="6"/>
  <c r="O28" i="6"/>
  <c r="C26" i="6"/>
  <c r="G20" i="6"/>
  <c r="J32" i="6" s="1"/>
  <c r="J37" i="6" s="1"/>
  <c r="C20" i="6" l="1"/>
  <c r="C21" i="6" l="1"/>
  <c r="C22" i="6"/>
  <c r="C23" i="6"/>
  <c r="K20" i="6"/>
  <c r="G21" i="6" s="1"/>
  <c r="L20" i="6" l="1"/>
  <c r="K21" i="6" l="1"/>
  <c r="G22" i="6" s="1"/>
  <c r="I22" i="6" s="1"/>
  <c r="K22" i="6" l="1"/>
  <c r="G23" i="6" s="1"/>
  <c r="I23" i="6" s="1"/>
  <c r="L23" i="6" l="1"/>
  <c r="L22" i="6"/>
  <c r="K23" i="6" l="1"/>
  <c r="G24" i="6" l="1"/>
  <c r="I24" i="6" s="1"/>
  <c r="I21" i="6" l="1"/>
  <c r="K24" i="6"/>
  <c r="L24" i="6"/>
  <c r="G25" i="6" l="1"/>
  <c r="I25" i="6" s="1"/>
  <c r="L25" i="6" s="1"/>
  <c r="L21" i="6"/>
  <c r="F22" i="6"/>
  <c r="O22" i="6" s="1"/>
  <c r="F21" i="6"/>
  <c r="F25" i="6"/>
  <c r="O25" i="6" s="1"/>
  <c r="F27" i="6"/>
  <c r="O27" i="6" s="1"/>
  <c r="F24" i="6"/>
  <c r="O24" i="6" s="1"/>
  <c r="F26" i="6"/>
  <c r="O26" i="6" s="1"/>
  <c r="F23" i="6"/>
  <c r="O23" i="6" s="1"/>
  <c r="K25" i="6" l="1"/>
  <c r="G26" i="6" s="1"/>
  <c r="I26" i="6" s="1"/>
  <c r="L26" i="6" s="1"/>
  <c r="O21" i="6"/>
  <c r="K26" i="6" l="1"/>
  <c r="G27" i="6" s="1"/>
  <c r="K27" i="6" s="1"/>
  <c r="G28" i="6" s="1"/>
  <c r="I27" i="6" l="1"/>
  <c r="I28" i="6"/>
  <c r="L27" i="6"/>
  <c r="K28" i="6" l="1"/>
  <c r="G29" i="6" l="1"/>
  <c r="I29" i="6" s="1"/>
  <c r="L28" i="6"/>
  <c r="K29" i="6" l="1"/>
  <c r="G30" i="6" s="1"/>
  <c r="I30" i="6" s="1"/>
  <c r="L29" i="6"/>
  <c r="L30" i="6" l="1"/>
  <c r="K30" i="6"/>
  <c r="G31" i="6" s="1"/>
  <c r="I31" i="6" s="1"/>
  <c r="K31" i="6" l="1"/>
  <c r="G32" i="6" s="1"/>
  <c r="I32" i="6" s="1"/>
  <c r="L31" i="6"/>
  <c r="K32" i="6" l="1"/>
  <c r="L32" i="6"/>
  <c r="L8" i="6" s="1"/>
  <c r="I37" i="6" l="1"/>
  <c r="L37" i="6" l="1"/>
  <c r="L9" i="6"/>
  <c r="N29" i="6" l="1"/>
  <c r="N31" i="6"/>
  <c r="N24" i="6"/>
  <c r="N23" i="6"/>
  <c r="N27" i="6"/>
  <c r="N21" i="6"/>
  <c r="N32" i="6"/>
  <c r="N30" i="6"/>
  <c r="N22" i="6"/>
  <c r="N25" i="6"/>
  <c r="N26" i="6"/>
  <c r="N28" i="6"/>
  <c r="N33" i="6"/>
  <c r="N34" i="6"/>
  <c r="N36" i="6"/>
  <c r="N35" i="6"/>
  <c r="N37" i="6" l="1"/>
  <c r="Q23" i="6" l="1"/>
  <c r="L11" i="6"/>
  <c r="Q31" i="6"/>
  <c r="Q25" i="6"/>
  <c r="Q33" i="6"/>
  <c r="Q29" i="6"/>
  <c r="Q27" i="6"/>
  <c r="Q22" i="6"/>
  <c r="Q34" i="6"/>
  <c r="Q21" i="6"/>
  <c r="Q30" i="6"/>
  <c r="Q28" i="6"/>
  <c r="Q36" i="6"/>
  <c r="Q24" i="6"/>
  <c r="Q32" i="6"/>
  <c r="Q26" i="6"/>
  <c r="Q35" i="6"/>
  <c r="L10" i="6" l="1"/>
</calcChain>
</file>

<file path=xl/sharedStrings.xml><?xml version="1.0" encoding="utf-8"?>
<sst xmlns="http://schemas.openxmlformats.org/spreadsheetml/2006/main" count="28" uniqueCount="27">
  <si>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</si>
  <si>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</si>
  <si>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</si>
  <si>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</si>
  <si>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</si>
  <si>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</si>
  <si>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</si>
  <si>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</si>
  <si>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</si>
  <si>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</si>
  <si>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</si>
  <si>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(USD)</t>
  </si>
  <si>
    <t>TNA (90 d)</t>
  </si>
  <si>
    <t>Capital (USD)</t>
  </si>
  <si>
    <t>Intereses (USD)</t>
  </si>
  <si>
    <t>Amortización (USD)</t>
  </si>
  <si>
    <t>Capital Residual (USD)</t>
  </si>
  <si>
    <t>Flujo (USD)</t>
  </si>
  <si>
    <t>Tasa Fija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</si>
  <si>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</si>
  <si>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Obligaciones Negociables Petroquímica Comodoro Rivadavia S.A. Clase Q</t>
  </si>
  <si>
    <t>Dólar Linked - 36 meses</t>
  </si>
  <si>
    <t>Suscripción en especie Clase H</t>
  </si>
  <si>
    <t>Cantidad</t>
  </si>
  <si>
    <t>Relación de canje</t>
  </si>
  <si>
    <t>Valor nominal a suscribir</t>
  </si>
  <si>
    <t>Tipo de cambio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</si>
</sst>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_ &quot;$&quot;\ * #,##0.00_ ;_ &quot;$&quot;\ * \-#,##0.00_ ;_ &quot;$&quot;\ * &quot;-&quot;_ ;_ @_ "/>
    <numFmt numFmtId="174" formatCode="_-* #,##0\ _p_t_a_-;\-* #,##0\ _p_t_a_-;_-* &quot;-&quot;??\ _p_t_a_-;_-@_-"/>
    <numFmt numFmtId="175" formatCode="0.0000%"/>
    <numFmt numFmtId="176" formatCode="_ * #,##0.0000_ ;_ * \-#,##0.0000_ ;_ * &quot;-&quot;??_ ;_ @_ 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0"/>
      <color rgb="FFFF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9" fontId="8" fillId="2" borderId="2" xfId="1" applyFont="1" applyFill="1" applyBorder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4" xfId="0" applyNumberFormat="1" applyFont="1" applyBorder="1"/>
    <xf numFmtId="0" fontId="5" fillId="0" borderId="0" xfId="0" applyFont="1"/>
    <xf numFmtId="166" fontId="5" fillId="0" borderId="0" xfId="0" applyNumberFormat="1" applyFont="1"/>
    <xf numFmtId="0" fontId="4" fillId="5" borderId="0" xfId="0" applyFont="1" applyFill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0" fontId="5" fillId="2" borderId="0" xfId="2" applyNumberFormat="1" applyFont="1" applyFill="1" applyBorder="1" applyAlignment="1" applyProtection="1">
      <alignment horizontal="right" indent="1"/>
      <protection hidden="1"/>
    </xf>
    <xf numFmtId="172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0" fontId="14" fillId="5" borderId="0" xfId="0" applyFont="1" applyFill="1" applyAlignment="1" applyProtection="1">
      <alignment vertical="top" wrapText="1"/>
      <protection hidden="1"/>
    </xf>
    <xf numFmtId="173" fontId="5" fillId="2" borderId="0" xfId="0" applyNumberFormat="1" applyFont="1" applyFill="1" applyProtection="1">
      <protection hidden="1"/>
    </xf>
    <xf numFmtId="173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3" fontId="5" fillId="2" borderId="9" xfId="0" applyNumberFormat="1" applyFont="1" applyFill="1" applyBorder="1" applyProtection="1">
      <protection hidden="1"/>
    </xf>
    <xf numFmtId="173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/>
    <xf numFmtId="174" fontId="15" fillId="3" borderId="0" xfId="2" applyNumberFormat="1" applyFont="1" applyFill="1"/>
    <xf numFmtId="175" fontId="15" fillId="3" borderId="0" xfId="1" applyNumberFormat="1" applyFont="1" applyFill="1"/>
    <xf numFmtId="174" fontId="15" fillId="3" borderId="0" xfId="0" applyNumberFormat="1" applyFont="1" applyFill="1"/>
    <xf numFmtId="176" fontId="8" fillId="2" borderId="2" xfId="2" applyNumberFormat="1" applyFont="1" applyFill="1" applyBorder="1" applyProtection="1"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0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166" fontId="7" fillId="4" borderId="12" xfId="0" applyNumberFormat="1" applyFont="1" applyFill="1" applyBorder="1" applyAlignment="1" applyProtection="1">
      <alignment horizontal="left" vertical="center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0" fontId="8" fillId="3" borderId="12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  <xf numFmtId="0" fontId="9" fillId="4" borderId="3" xfId="0" applyFont="1" applyFill="1" applyBorder="1" applyAlignment="1" applyProtection="1">
      <alignment horizontal="right" indent="1"/>
      <protection hidden="1"/>
    </xf>
  </cellXfs>
  <cellStyles count="8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10585</xdr:colOff>
      <xdr:row>0</xdr:row>
      <xdr:rowOff>156106</xdr:rowOff>
    </xdr:from>
    <xdr:to>
      <xdr:col>5</xdr:col>
      <xdr:colOff>1344614</xdr:colOff>
      <xdr:row>3</xdr:row>
      <xdr:rowOff>144485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5665D2-980F-4A48-88B7-9D8CCB8F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3835" y="156106"/>
          <a:ext cx="1330854" cy="532892"/>
        </a:xfrm>
        <a:prstGeom prst="rect">
          <a:avLst/>
        </a:prstGeom>
      </xdr:spPr>
    </xdr:pic>
    <xdr:clientData/>
  </xdr:twoCellAnchor>
  <xdr:twoCellAnchor editAs="oneCell">
    <xdr:from>
      <xdr:col>10</xdr:col>
      <xdr:colOff>1119188</xdr:colOff>
      <xdr:row>0</xdr:row>
      <xdr:rowOff>80170</xdr:rowOff>
    </xdr:from>
    <xdr:to>
      <xdr:col>11</xdr:col>
      <xdr:colOff>979260</xdr:colOff>
      <xdr:row>3</xdr:row>
      <xdr:rowOff>103493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0162E0-3BA3-A94C-C6A3-FD65A1B1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73688" y="80170"/>
          <a:ext cx="1511866" cy="555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showGridLines="0" tabSelected="1" topLeftCell="F1" zoomScaleNormal="100" workbookViewId="0">
      <selection activeCell="G10" sqref="G10:G11"/>
    </sheetView>
  </sheetViews>
  <sheetFormatPr baseColWidth="10" defaultColWidth="9.140625" defaultRowHeight="15" customHeight="1" zeroHeight="1"/>
  <cols>
    <col min="1" max="1" width="9.140625" style="5" hidden="1" customWidth="1"/>
    <col min="2" max="2" width="39" style="5" hidden="1" customWidth="1"/>
    <col min="3" max="3" width="15.85546875" style="5" hidden="1" customWidth="1"/>
    <col min="4" max="4" width="39.140625" style="5" hidden="1" customWidth="1"/>
    <col min="5" max="5" width="32.7109375" style="38" hidden="1" customWidth="1"/>
    <col min="6" max="6" width="37" style="39" customWidth="1"/>
    <col min="7" max="7" width="16.7109375" style="38" bestFit="1" customWidth="1"/>
    <col min="8" max="8" width="13.42578125" style="38" bestFit="1" customWidth="1"/>
    <col min="9" max="9" width="18.28515625" style="38" customWidth="1"/>
    <col min="10" max="10" width="21.28515625" style="38" bestFit="1" customWidth="1"/>
    <col min="11" max="11" width="23.7109375" style="38" bestFit="1" customWidth="1"/>
    <col min="12" max="12" width="17.42578125" style="38" bestFit="1" customWidth="1"/>
    <col min="13" max="13" width="32.7109375" style="40" customWidth="1"/>
    <col min="14" max="14" width="10.28515625" style="5" hidden="1" customWidth="1"/>
    <col min="15" max="16" width="9.140625" style="5" hidden="1" customWidth="1"/>
    <col min="17" max="17" width="9.85546875" style="5" hidden="1" customWidth="1"/>
    <col min="18" max="18" width="9.140625" style="5" customWidth="1"/>
    <col min="19" max="16384" width="9.140625" style="5"/>
  </cols>
  <sheetData>
    <row r="1" spans="1:14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4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4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4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4">
      <c r="A5" s="1"/>
      <c r="B5" s="1"/>
      <c r="C5" s="1"/>
      <c r="D5" s="1"/>
      <c r="E5" s="2"/>
      <c r="F5" s="6" t="s">
        <v>20</v>
      </c>
      <c r="G5" s="6"/>
      <c r="H5" s="6"/>
      <c r="I5" s="6"/>
      <c r="J5" s="2"/>
      <c r="K5" s="2"/>
      <c r="L5" s="2"/>
      <c r="M5" s="4"/>
    </row>
    <row r="6" spans="1:14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4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4">
      <c r="A8" s="1"/>
      <c r="B8" s="1"/>
      <c r="C8" s="1"/>
      <c r="D8" s="1"/>
      <c r="E8" s="2"/>
      <c r="F8" s="7" t="s">
        <v>11</v>
      </c>
      <c r="G8" s="8">
        <v>100000</v>
      </c>
      <c r="H8" s="2"/>
      <c r="I8" s="2"/>
      <c r="J8" s="68" t="s">
        <v>0</v>
      </c>
      <c r="K8" s="68"/>
      <c r="L8" s="9">
        <f>+XIRR(L20:L32,F20:F32)</f>
        <v>1.5084579586982727E-2</v>
      </c>
      <c r="M8" s="10"/>
    </row>
    <row r="9" spans="1:14">
      <c r="A9" s="1"/>
      <c r="B9" s="1"/>
      <c r="C9" s="1"/>
      <c r="D9" s="1"/>
      <c r="E9" s="2"/>
      <c r="F9" s="7" t="s">
        <v>6</v>
      </c>
      <c r="G9" s="41">
        <v>45489</v>
      </c>
      <c r="H9" s="2"/>
      <c r="I9" s="2"/>
      <c r="J9" s="68" t="s">
        <v>12</v>
      </c>
      <c r="K9" s="68"/>
      <c r="L9" s="9">
        <f>+((1+L8)^(1/4)-1)*4</f>
        <v>1.499999352484771E-2</v>
      </c>
      <c r="M9" s="11"/>
    </row>
    <row r="10" spans="1:14">
      <c r="A10" s="1"/>
      <c r="B10" s="1"/>
      <c r="C10" s="1"/>
      <c r="D10" s="1"/>
      <c r="E10" s="2"/>
      <c r="F10" s="64" t="s">
        <v>18</v>
      </c>
      <c r="G10" s="66">
        <v>1.4999999999999999E-2</v>
      </c>
      <c r="H10" s="2"/>
      <c r="I10" s="2"/>
      <c r="J10" s="68" t="s">
        <v>2</v>
      </c>
      <c r="K10" s="68"/>
      <c r="L10" s="12">
        <f>+SUM(Q21:Q32)/(365/12)</f>
        <v>35.26942933056074</v>
      </c>
      <c r="M10" s="11"/>
    </row>
    <row r="11" spans="1:14">
      <c r="A11" s="1"/>
      <c r="B11" s="1"/>
      <c r="C11" s="1"/>
      <c r="D11" s="1"/>
      <c r="E11" s="2"/>
      <c r="F11" s="65"/>
      <c r="G11" s="67"/>
      <c r="H11" s="13"/>
      <c r="I11" s="6"/>
      <c r="J11" s="68" t="s">
        <v>8</v>
      </c>
      <c r="K11" s="68"/>
      <c r="L11" s="14">
        <f>+N37/G20</f>
        <v>0.99999999654512362</v>
      </c>
      <c r="M11" s="15"/>
      <c r="N11" s="16"/>
    </row>
    <row r="12" spans="1:14">
      <c r="A12" s="1"/>
      <c r="B12" s="1"/>
      <c r="C12" s="1"/>
      <c r="D12" s="1"/>
      <c r="E12" s="2"/>
      <c r="F12" s="7" t="s">
        <v>26</v>
      </c>
      <c r="G12" s="57">
        <v>920.5</v>
      </c>
      <c r="H12" s="2"/>
      <c r="I12" s="2"/>
      <c r="J12" s="2"/>
      <c r="K12" s="2"/>
      <c r="L12" s="2"/>
      <c r="M12" s="17"/>
      <c r="N12" s="16"/>
    </row>
    <row r="13" spans="1:14">
      <c r="A13" s="1"/>
      <c r="B13" s="1"/>
      <c r="C13" s="1"/>
      <c r="D13" s="1"/>
      <c r="E13" s="2"/>
      <c r="F13" s="3"/>
      <c r="G13" s="2"/>
      <c r="H13" s="2"/>
      <c r="I13" s="2"/>
      <c r="J13" s="2"/>
      <c r="K13" s="2"/>
      <c r="L13" s="2"/>
      <c r="M13" s="17"/>
      <c r="N13" s="16"/>
    </row>
    <row r="14" spans="1:14">
      <c r="A14" s="1"/>
      <c r="B14" s="1"/>
      <c r="C14" s="1"/>
      <c r="D14" s="1"/>
      <c r="E14" s="2"/>
      <c r="F14" s="58" t="s">
        <v>22</v>
      </c>
      <c r="G14" s="59" t="s">
        <v>23</v>
      </c>
      <c r="H14" s="2"/>
      <c r="I14" s="2"/>
      <c r="J14" s="2"/>
      <c r="K14" s="2"/>
      <c r="L14" s="2"/>
      <c r="M14" s="17"/>
      <c r="N14" s="16"/>
    </row>
    <row r="15" spans="1:14">
      <c r="A15" s="1"/>
      <c r="B15" s="1"/>
      <c r="C15" s="1"/>
      <c r="D15" s="1"/>
      <c r="E15" s="2"/>
      <c r="F15" s="7" t="s">
        <v>11</v>
      </c>
      <c r="G15" s="8">
        <v>50000</v>
      </c>
      <c r="H15" s="2"/>
      <c r="I15" s="2"/>
      <c r="J15" s="2"/>
      <c r="K15" s="2"/>
      <c r="L15" s="2"/>
      <c r="M15" s="17"/>
      <c r="N15" s="16"/>
    </row>
    <row r="16" spans="1:14">
      <c r="A16" s="1"/>
      <c r="B16" s="1"/>
      <c r="C16" s="1"/>
      <c r="D16" s="1"/>
      <c r="E16" s="2"/>
      <c r="F16" s="7" t="s">
        <v>24</v>
      </c>
      <c r="G16" s="57">
        <v>1.0225</v>
      </c>
      <c r="H16" s="2"/>
      <c r="I16" s="2"/>
      <c r="J16" s="2"/>
      <c r="K16" s="2"/>
      <c r="L16" s="2"/>
      <c r="M16" s="17"/>
      <c r="N16" s="16"/>
    </row>
    <row r="17" spans="1:17">
      <c r="A17" s="1"/>
      <c r="B17" s="1"/>
      <c r="C17" s="1"/>
      <c r="D17" s="1"/>
      <c r="E17" s="2"/>
      <c r="F17" s="7" t="s">
        <v>25</v>
      </c>
      <c r="G17" s="12">
        <f>+ROUND(G15*G16,0)</f>
        <v>51125</v>
      </c>
      <c r="H17" s="2"/>
      <c r="I17" s="2"/>
      <c r="J17" s="2"/>
      <c r="K17" s="2"/>
      <c r="L17" s="2"/>
      <c r="M17" s="17"/>
      <c r="N17" s="16"/>
    </row>
    <row r="18" spans="1:17" ht="15.75" thickBot="1">
      <c r="A18" s="1"/>
      <c r="B18" s="1"/>
      <c r="C18" s="1"/>
      <c r="D18" s="1"/>
      <c r="E18" s="2"/>
      <c r="F18" s="3"/>
      <c r="G18" s="2"/>
      <c r="H18" s="2"/>
      <c r="I18" s="2"/>
      <c r="J18" s="2"/>
      <c r="K18" s="2"/>
      <c r="L18" s="2"/>
      <c r="M18" s="17"/>
      <c r="N18" s="16"/>
    </row>
    <row r="19" spans="1:17" s="25" customFormat="1" ht="28.5" customHeight="1" thickBot="1">
      <c r="A19" s="18"/>
      <c r="B19" s="19"/>
      <c r="C19" s="19" t="s">
        <v>7</v>
      </c>
      <c r="D19" s="19"/>
      <c r="E19" s="20"/>
      <c r="F19" s="21" t="s">
        <v>3</v>
      </c>
      <c r="G19" s="21" t="s">
        <v>13</v>
      </c>
      <c r="H19" s="21" t="s">
        <v>4</v>
      </c>
      <c r="I19" s="21" t="s">
        <v>14</v>
      </c>
      <c r="J19" s="21" t="s">
        <v>15</v>
      </c>
      <c r="K19" s="21" t="s">
        <v>16</v>
      </c>
      <c r="L19" s="22" t="s">
        <v>17</v>
      </c>
      <c r="M19" s="23"/>
      <c r="N19" s="24" t="s">
        <v>1</v>
      </c>
      <c r="O19" s="24" t="s">
        <v>5</v>
      </c>
      <c r="Q19" s="24" t="s">
        <v>9</v>
      </c>
    </row>
    <row r="20" spans="1:17">
      <c r="A20" s="1"/>
      <c r="B20" s="26">
        <f>+G9</f>
        <v>45489</v>
      </c>
      <c r="C20" s="27">
        <f>+$G$10</f>
        <v>1.4999999999999999E-2</v>
      </c>
      <c r="D20" s="26">
        <f>+B20</f>
        <v>45489</v>
      </c>
      <c r="E20" s="28"/>
      <c r="F20" s="29">
        <f>+G9</f>
        <v>45489</v>
      </c>
      <c r="G20" s="49">
        <f>+G8</f>
        <v>100000</v>
      </c>
      <c r="H20" s="43"/>
      <c r="I20" s="42"/>
      <c r="J20" s="42"/>
      <c r="K20" s="49">
        <f t="shared" ref="K20:K23" si="0">+G20-J20</f>
        <v>100000</v>
      </c>
      <c r="L20" s="51">
        <f>-G20</f>
        <v>-100000</v>
      </c>
      <c r="M20" s="30"/>
      <c r="N20" s="31"/>
      <c r="O20" s="31"/>
    </row>
    <row r="21" spans="1:17">
      <c r="A21" s="1"/>
      <c r="B21" s="26">
        <v>45581</v>
      </c>
      <c r="C21" s="27">
        <f t="shared" ref="C21:C32" si="1">+$G$10</f>
        <v>1.4999999999999999E-2</v>
      </c>
      <c r="D21" s="26">
        <f>+B21</f>
        <v>45581</v>
      </c>
      <c r="E21" s="28"/>
      <c r="F21" s="32">
        <f>+D21</f>
        <v>45581</v>
      </c>
      <c r="G21" s="49">
        <f>+K20</f>
        <v>100000</v>
      </c>
      <c r="H21" s="45">
        <f>D21-D20</f>
        <v>92</v>
      </c>
      <c r="I21" s="49">
        <f>+G21*($G$10)*(H21)/365</f>
        <v>378.08219178082192</v>
      </c>
      <c r="J21" s="42"/>
      <c r="K21" s="49">
        <f t="shared" si="0"/>
        <v>100000</v>
      </c>
      <c r="L21" s="51">
        <f t="shared" ref="L21:L28" si="2">+I21+J21</f>
        <v>378.08219178082192</v>
      </c>
      <c r="M21" s="30"/>
      <c r="N21" s="33">
        <f>+L21/(1+$L$8)^((O21)/365)</f>
        <v>376.65809330166911</v>
      </c>
      <c r="O21" s="34">
        <f t="shared" ref="O21:O28" si="3">+F21-$F$20</f>
        <v>92</v>
      </c>
      <c r="Q21" s="35">
        <f t="shared" ref="Q21:Q36" si="4">+(N21/$N$37)*O21</f>
        <v>0.34652544703473814</v>
      </c>
    </row>
    <row r="22" spans="1:17">
      <c r="A22" s="1"/>
      <c r="B22" s="26">
        <v>45673</v>
      </c>
      <c r="C22" s="27">
        <f t="shared" si="1"/>
        <v>1.4999999999999999E-2</v>
      </c>
      <c r="D22" s="26">
        <f t="shared" ref="D22:D29" si="5">+B22</f>
        <v>45673</v>
      </c>
      <c r="E22" s="28"/>
      <c r="F22" s="32">
        <f t="shared" ref="F22:F28" si="6">+D22</f>
        <v>45673</v>
      </c>
      <c r="G22" s="49">
        <f>+K21</f>
        <v>100000</v>
      </c>
      <c r="H22" s="45">
        <f t="shared" ref="H22:H32" si="7">D22-D21</f>
        <v>92</v>
      </c>
      <c r="I22" s="49">
        <f t="shared" ref="I22:I32" si="8">+G22*($G$10)*(H22)/365</f>
        <v>378.08219178082192</v>
      </c>
      <c r="J22" s="42"/>
      <c r="K22" s="49">
        <f>+G22-J22</f>
        <v>100000</v>
      </c>
      <c r="L22" s="51">
        <f t="shared" si="2"/>
        <v>378.08219178082192</v>
      </c>
      <c r="M22" s="30"/>
      <c r="N22" s="33">
        <f t="shared" ref="N22:N36" si="9">+L22/(1+$L$8)^((O22)/365)</f>
        <v>375.23935888494088</v>
      </c>
      <c r="O22" s="34">
        <f t="shared" si="3"/>
        <v>184</v>
      </c>
      <c r="Q22" s="35">
        <f t="shared" si="4"/>
        <v>0.69044042273367756</v>
      </c>
    </row>
    <row r="23" spans="1:17">
      <c r="A23" s="1"/>
      <c r="B23" s="26">
        <v>45763</v>
      </c>
      <c r="C23" s="27">
        <f t="shared" si="1"/>
        <v>1.4999999999999999E-2</v>
      </c>
      <c r="D23" s="26">
        <f t="shared" ref="D23:D28" si="10">+B23</f>
        <v>45763</v>
      </c>
      <c r="E23" s="28"/>
      <c r="F23" s="32">
        <f t="shared" si="6"/>
        <v>45763</v>
      </c>
      <c r="G23" s="49">
        <f>+K22</f>
        <v>100000</v>
      </c>
      <c r="H23" s="45">
        <f t="shared" si="7"/>
        <v>90</v>
      </c>
      <c r="I23" s="49">
        <f t="shared" si="8"/>
        <v>369.86301369863014</v>
      </c>
      <c r="J23" s="42"/>
      <c r="K23" s="49">
        <f t="shared" si="0"/>
        <v>100000</v>
      </c>
      <c r="L23" s="51">
        <f t="shared" si="2"/>
        <v>369.86301369863014</v>
      </c>
      <c r="M23" s="30"/>
      <c r="N23" s="33">
        <f t="shared" si="9"/>
        <v>365.72931931936137</v>
      </c>
      <c r="O23" s="34">
        <f t="shared" si="3"/>
        <v>274</v>
      </c>
      <c r="Q23" s="35">
        <f t="shared" si="4"/>
        <v>1.002098338397176</v>
      </c>
    </row>
    <row r="24" spans="1:17">
      <c r="A24" s="1"/>
      <c r="B24" s="26">
        <v>45854</v>
      </c>
      <c r="C24" s="27">
        <f t="shared" si="1"/>
        <v>1.4999999999999999E-2</v>
      </c>
      <c r="D24" s="26">
        <f t="shared" si="10"/>
        <v>45854</v>
      </c>
      <c r="E24" s="28"/>
      <c r="F24" s="32">
        <f t="shared" ref="F24:F25" si="11">+D24</f>
        <v>45854</v>
      </c>
      <c r="G24" s="49">
        <f t="shared" ref="G24:G32" si="12">+K23</f>
        <v>100000</v>
      </c>
      <c r="H24" s="45">
        <f t="shared" si="7"/>
        <v>91</v>
      </c>
      <c r="I24" s="49">
        <f t="shared" si="8"/>
        <v>373.97260273972603</v>
      </c>
      <c r="J24" s="42"/>
      <c r="K24" s="49">
        <f t="shared" ref="K24:K25" si="13">+G24-J24</f>
        <v>100000</v>
      </c>
      <c r="L24" s="51">
        <f t="shared" ref="L24:L25" si="14">+I24+J24</f>
        <v>373.97260273972603</v>
      </c>
      <c r="M24" s="30"/>
      <c r="N24" s="33">
        <f t="shared" si="9"/>
        <v>368.4152141212586</v>
      </c>
      <c r="O24" s="34">
        <f t="shared" si="3"/>
        <v>365</v>
      </c>
      <c r="Q24" s="35">
        <f t="shared" si="4"/>
        <v>1.34471553618842</v>
      </c>
    </row>
    <row r="25" spans="1:17">
      <c r="A25" s="1"/>
      <c r="B25" s="26">
        <v>45946</v>
      </c>
      <c r="C25" s="27">
        <f t="shared" si="1"/>
        <v>1.4999999999999999E-2</v>
      </c>
      <c r="D25" s="26">
        <f t="shared" si="10"/>
        <v>45946</v>
      </c>
      <c r="E25" s="28"/>
      <c r="F25" s="32">
        <f t="shared" si="11"/>
        <v>45946</v>
      </c>
      <c r="G25" s="49">
        <f t="shared" si="12"/>
        <v>100000</v>
      </c>
      <c r="H25" s="45">
        <f t="shared" si="7"/>
        <v>92</v>
      </c>
      <c r="I25" s="49">
        <f t="shared" si="8"/>
        <v>378.08219178082192</v>
      </c>
      <c r="J25" s="42"/>
      <c r="K25" s="49">
        <f t="shared" si="13"/>
        <v>100000</v>
      </c>
      <c r="L25" s="51">
        <f t="shared" si="14"/>
        <v>378.08219178082192</v>
      </c>
      <c r="M25" s="30"/>
      <c r="N25" s="33">
        <f t="shared" si="9"/>
        <v>371.06079717507248</v>
      </c>
      <c r="O25" s="34">
        <f t="shared" si="3"/>
        <v>457</v>
      </c>
      <c r="Q25" s="35">
        <f t="shared" si="4"/>
        <v>1.6957478489486806</v>
      </c>
    </row>
    <row r="26" spans="1:17">
      <c r="A26" s="1"/>
      <c r="B26" s="26">
        <v>46038</v>
      </c>
      <c r="C26" s="27">
        <f t="shared" si="1"/>
        <v>1.4999999999999999E-2</v>
      </c>
      <c r="D26" s="26">
        <f t="shared" si="10"/>
        <v>46038</v>
      </c>
      <c r="E26" s="28"/>
      <c r="F26" s="32">
        <f t="shared" si="6"/>
        <v>46038</v>
      </c>
      <c r="G26" s="49">
        <f t="shared" si="12"/>
        <v>100000</v>
      </c>
      <c r="H26" s="45">
        <f t="shared" si="7"/>
        <v>92</v>
      </c>
      <c r="I26" s="49">
        <f t="shared" si="8"/>
        <v>378.08219178082192</v>
      </c>
      <c r="J26" s="42"/>
      <c r="K26" s="49">
        <f>+G26-J26</f>
        <v>100000</v>
      </c>
      <c r="L26" s="51">
        <f t="shared" si="2"/>
        <v>378.08219178082192</v>
      </c>
      <c r="M26" s="30"/>
      <c r="N26" s="33">
        <f t="shared" si="9"/>
        <v>369.66314574261213</v>
      </c>
      <c r="O26" s="34">
        <f t="shared" si="3"/>
        <v>549</v>
      </c>
      <c r="Q26" s="35">
        <f t="shared" si="4"/>
        <v>2.029450677138442</v>
      </c>
    </row>
    <row r="27" spans="1:17">
      <c r="A27" s="1"/>
      <c r="B27" s="26">
        <v>46128</v>
      </c>
      <c r="C27" s="27">
        <f t="shared" si="1"/>
        <v>1.4999999999999999E-2</v>
      </c>
      <c r="D27" s="26">
        <f t="shared" si="10"/>
        <v>46128</v>
      </c>
      <c r="E27" s="28"/>
      <c r="F27" s="32">
        <f t="shared" si="6"/>
        <v>46128</v>
      </c>
      <c r="G27" s="49">
        <f t="shared" si="12"/>
        <v>100000</v>
      </c>
      <c r="H27" s="45">
        <f t="shared" si="7"/>
        <v>90</v>
      </c>
      <c r="I27" s="49">
        <f t="shared" si="8"/>
        <v>369.86301369863014</v>
      </c>
      <c r="J27" s="42"/>
      <c r="K27" s="49">
        <f t="shared" ref="K27:K28" si="15">+G27-J27</f>
        <v>100000</v>
      </c>
      <c r="L27" s="51">
        <f t="shared" si="2"/>
        <v>369.86301369863014</v>
      </c>
      <c r="M27" s="30"/>
      <c r="N27" s="33">
        <f t="shared" si="9"/>
        <v>360.29442932545498</v>
      </c>
      <c r="O27" s="34">
        <f t="shared" si="3"/>
        <v>639</v>
      </c>
      <c r="Q27" s="35">
        <f t="shared" si="4"/>
        <v>2.3022814113437553</v>
      </c>
    </row>
    <row r="28" spans="1:17">
      <c r="A28" s="1"/>
      <c r="B28" s="26">
        <v>46219</v>
      </c>
      <c r="C28" s="27">
        <f t="shared" si="1"/>
        <v>1.4999999999999999E-2</v>
      </c>
      <c r="D28" s="26">
        <f t="shared" si="10"/>
        <v>46219</v>
      </c>
      <c r="E28" s="28"/>
      <c r="F28" s="32">
        <f t="shared" si="6"/>
        <v>46219</v>
      </c>
      <c r="G28" s="49">
        <f t="shared" si="12"/>
        <v>100000</v>
      </c>
      <c r="H28" s="45">
        <f t="shared" si="7"/>
        <v>91</v>
      </c>
      <c r="I28" s="49">
        <f t="shared" si="8"/>
        <v>373.97260273972603</v>
      </c>
      <c r="J28" s="42"/>
      <c r="K28" s="49">
        <f t="shared" si="15"/>
        <v>100000</v>
      </c>
      <c r="L28" s="51">
        <f t="shared" si="2"/>
        <v>373.97260273972603</v>
      </c>
      <c r="M28" s="30"/>
      <c r="N28" s="33">
        <f t="shared" si="9"/>
        <v>362.94041061204899</v>
      </c>
      <c r="O28" s="34">
        <f t="shared" si="3"/>
        <v>730</v>
      </c>
      <c r="Q28" s="35">
        <f t="shared" si="4"/>
        <v>2.6494650066215319</v>
      </c>
    </row>
    <row r="29" spans="1:17">
      <c r="A29" s="1"/>
      <c r="B29" s="26">
        <v>46311</v>
      </c>
      <c r="C29" s="27">
        <f t="shared" si="1"/>
        <v>1.4999999999999999E-2</v>
      </c>
      <c r="D29" s="26">
        <f t="shared" si="5"/>
        <v>46311</v>
      </c>
      <c r="E29" s="28"/>
      <c r="F29" s="32">
        <f t="shared" ref="F29:F32" si="16">+D29</f>
        <v>46311</v>
      </c>
      <c r="G29" s="49">
        <f t="shared" si="12"/>
        <v>100000</v>
      </c>
      <c r="H29" s="45">
        <f t="shared" si="7"/>
        <v>92</v>
      </c>
      <c r="I29" s="49">
        <f t="shared" si="8"/>
        <v>378.08219178082192</v>
      </c>
      <c r="J29" s="42"/>
      <c r="K29" s="49">
        <f t="shared" ref="K29" si="17">+G29-J29</f>
        <v>100000</v>
      </c>
      <c r="L29" s="51">
        <f t="shared" ref="L29:L32" si="18">+I29+J29</f>
        <v>378.08219178082192</v>
      </c>
      <c r="M29" s="30"/>
      <c r="N29" s="33">
        <f t="shared" ref="N29:N32" si="19">+L29/(1+$L$8)^((O29)/365)</f>
        <v>365.54667919992397</v>
      </c>
      <c r="O29" s="34">
        <f t="shared" ref="O29:O32" si="20">+F29-$F$20</f>
        <v>822</v>
      </c>
      <c r="Q29" s="35">
        <f t="shared" si="4"/>
        <v>3.0047937134045664</v>
      </c>
    </row>
    <row r="30" spans="1:17">
      <c r="A30" s="1"/>
      <c r="B30" s="26">
        <v>46403</v>
      </c>
      <c r="C30" s="27">
        <f t="shared" si="1"/>
        <v>1.4999999999999999E-2</v>
      </c>
      <c r="D30" s="26">
        <f>+B30+2</f>
        <v>46405</v>
      </c>
      <c r="E30" s="28"/>
      <c r="F30" s="32">
        <f t="shared" si="16"/>
        <v>46405</v>
      </c>
      <c r="G30" s="49">
        <f t="shared" si="12"/>
        <v>100000</v>
      </c>
      <c r="H30" s="45">
        <f t="shared" si="7"/>
        <v>94</v>
      </c>
      <c r="I30" s="49">
        <f t="shared" si="8"/>
        <v>386.30136986301369</v>
      </c>
      <c r="J30" s="42"/>
      <c r="K30" s="49">
        <f>+G30-J30</f>
        <v>100000</v>
      </c>
      <c r="L30" s="51">
        <f t="shared" si="18"/>
        <v>386.30136986301369</v>
      </c>
      <c r="M30" s="30"/>
      <c r="N30" s="33">
        <f t="shared" si="19"/>
        <v>372.056008186658</v>
      </c>
      <c r="O30" s="34">
        <f t="shared" si="20"/>
        <v>916</v>
      </c>
      <c r="Q30" s="35">
        <f t="shared" si="4"/>
        <v>3.4080330467641202</v>
      </c>
    </row>
    <row r="31" spans="1:17">
      <c r="A31" s="1"/>
      <c r="B31" s="26">
        <v>46493</v>
      </c>
      <c r="C31" s="27">
        <f t="shared" si="1"/>
        <v>1.4999999999999999E-2</v>
      </c>
      <c r="D31" s="26">
        <f>+B31</f>
        <v>46493</v>
      </c>
      <c r="E31" s="28"/>
      <c r="F31" s="32">
        <f t="shared" si="16"/>
        <v>46493</v>
      </c>
      <c r="G31" s="49">
        <f t="shared" si="12"/>
        <v>100000</v>
      </c>
      <c r="H31" s="45">
        <f t="shared" si="7"/>
        <v>88</v>
      </c>
      <c r="I31" s="49">
        <f t="shared" si="8"/>
        <v>361.64383561643837</v>
      </c>
      <c r="J31" s="42"/>
      <c r="K31" s="49">
        <f t="shared" ref="K31" si="21">+G31-J31</f>
        <v>100000</v>
      </c>
      <c r="L31" s="51">
        <f t="shared" si="18"/>
        <v>361.64383561643837</v>
      </c>
      <c r="M31" s="30"/>
      <c r="N31" s="33">
        <f t="shared" si="19"/>
        <v>347.05274174778106</v>
      </c>
      <c r="O31" s="34">
        <f t="shared" si="20"/>
        <v>1004</v>
      </c>
      <c r="Q31" s="35">
        <f t="shared" si="4"/>
        <v>3.4844095391859264</v>
      </c>
    </row>
    <row r="32" spans="1:17" ht="15.75" thickBot="1">
      <c r="A32" s="1"/>
      <c r="B32" s="26">
        <v>46584</v>
      </c>
      <c r="C32" s="27">
        <f t="shared" si="1"/>
        <v>1.4999999999999999E-2</v>
      </c>
      <c r="D32" s="26">
        <f>+B32</f>
        <v>46584</v>
      </c>
      <c r="E32" s="28"/>
      <c r="F32" s="32">
        <f t="shared" si="16"/>
        <v>46584</v>
      </c>
      <c r="G32" s="49">
        <f t="shared" si="12"/>
        <v>100000</v>
      </c>
      <c r="H32" s="45">
        <f t="shared" si="7"/>
        <v>91</v>
      </c>
      <c r="I32" s="49">
        <f t="shared" si="8"/>
        <v>373.97260273972603</v>
      </c>
      <c r="J32" s="49">
        <f>+G20</f>
        <v>100000</v>
      </c>
      <c r="K32" s="49">
        <f>+G32-J32</f>
        <v>0</v>
      </c>
      <c r="L32" s="51">
        <f t="shared" si="18"/>
        <v>100373.97260273973</v>
      </c>
      <c r="M32" s="30"/>
      <c r="N32" s="33">
        <f t="shared" si="19"/>
        <v>95965.343456895571</v>
      </c>
      <c r="O32" s="34">
        <f t="shared" si="20"/>
        <v>1095</v>
      </c>
      <c r="Q32" s="35">
        <f t="shared" si="4"/>
        <v>1050.8205144834615</v>
      </c>
    </row>
    <row r="33" spans="1:17" hidden="1">
      <c r="A33" s="1"/>
      <c r="B33" s="26"/>
      <c r="C33" s="27"/>
      <c r="D33" s="26"/>
      <c r="E33" s="28"/>
      <c r="F33" s="32"/>
      <c r="G33" s="49"/>
      <c r="H33" s="45"/>
      <c r="I33" s="49"/>
      <c r="J33" s="49"/>
      <c r="K33" s="49"/>
      <c r="L33" s="51"/>
      <c r="M33" s="30"/>
      <c r="N33" s="33">
        <f t="shared" si="9"/>
        <v>0</v>
      </c>
      <c r="O33" s="34"/>
      <c r="Q33" s="35">
        <f t="shared" si="4"/>
        <v>0</v>
      </c>
    </row>
    <row r="34" spans="1:17" hidden="1">
      <c r="A34" s="1"/>
      <c r="B34" s="26"/>
      <c r="C34" s="27"/>
      <c r="D34" s="26"/>
      <c r="E34" s="28"/>
      <c r="F34" s="32"/>
      <c r="G34" s="49"/>
      <c r="H34" s="45"/>
      <c r="I34" s="49"/>
      <c r="J34" s="49"/>
      <c r="K34" s="49"/>
      <c r="L34" s="51"/>
      <c r="M34" s="30"/>
      <c r="N34" s="33">
        <f t="shared" si="9"/>
        <v>0</v>
      </c>
      <c r="O34" s="34"/>
      <c r="Q34" s="35">
        <f t="shared" si="4"/>
        <v>0</v>
      </c>
    </row>
    <row r="35" spans="1:17" hidden="1">
      <c r="A35" s="1"/>
      <c r="B35" s="26"/>
      <c r="C35" s="27"/>
      <c r="D35" s="26"/>
      <c r="E35" s="28"/>
      <c r="F35" s="32"/>
      <c r="G35" s="49"/>
      <c r="H35" s="45"/>
      <c r="I35" s="49"/>
      <c r="J35" s="49"/>
      <c r="K35" s="49"/>
      <c r="L35" s="51"/>
      <c r="M35" s="30"/>
      <c r="N35" s="33">
        <f t="shared" si="9"/>
        <v>0</v>
      </c>
      <c r="O35" s="34"/>
      <c r="Q35" s="35">
        <f t="shared" si="4"/>
        <v>0</v>
      </c>
    </row>
    <row r="36" spans="1:17" ht="15.75" hidden="1" thickBot="1">
      <c r="A36" s="1"/>
      <c r="B36" s="26"/>
      <c r="C36" s="27"/>
      <c r="D36" s="26"/>
      <c r="E36" s="28"/>
      <c r="F36" s="32"/>
      <c r="G36" s="49"/>
      <c r="H36" s="45"/>
      <c r="I36" s="49"/>
      <c r="J36" s="49"/>
      <c r="K36" s="42"/>
      <c r="L36" s="51"/>
      <c r="M36" s="30"/>
      <c r="N36" s="33">
        <f t="shared" si="9"/>
        <v>0</v>
      </c>
      <c r="O36" s="34"/>
      <c r="Q36" s="35">
        <f t="shared" si="4"/>
        <v>0</v>
      </c>
    </row>
    <row r="37" spans="1:17" ht="15.75" thickBot="1">
      <c r="A37" s="1"/>
      <c r="B37" s="36"/>
      <c r="C37" s="27"/>
      <c r="D37" s="1"/>
      <c r="E37" s="2"/>
      <c r="F37" s="61" t="s">
        <v>10</v>
      </c>
      <c r="G37" s="62"/>
      <c r="H37" s="63"/>
      <c r="I37" s="50">
        <f>SUM(I21:I36)</f>
        <v>4500.0000000000009</v>
      </c>
      <c r="J37" s="46">
        <f>SUM(J21:J36)</f>
        <v>100000</v>
      </c>
      <c r="K37" s="44"/>
      <c r="L37" s="52">
        <f>SUM(L20:L36)</f>
        <v>4500</v>
      </c>
      <c r="M37" s="4"/>
      <c r="N37" s="37">
        <f>SUM(N21:N36)</f>
        <v>99999.999654512358</v>
      </c>
    </row>
    <row r="38" spans="1:17" ht="15" customHeight="1">
      <c r="A38" s="1"/>
      <c r="B38" s="1"/>
      <c r="C38" s="1"/>
      <c r="D38" s="1"/>
      <c r="E38" s="2"/>
      <c r="F38" s="3"/>
      <c r="G38" s="2"/>
      <c r="H38" s="2"/>
      <c r="I38" s="2"/>
      <c r="J38" s="2"/>
      <c r="K38" s="2"/>
      <c r="L38" s="2"/>
      <c r="M38" s="4"/>
    </row>
    <row r="39" spans="1:17" ht="21.75" customHeight="1">
      <c r="F39" s="60" t="s">
        <v>19</v>
      </c>
      <c r="G39" s="60"/>
      <c r="H39" s="60"/>
      <c r="I39" s="60"/>
      <c r="J39" s="60"/>
      <c r="K39" s="60"/>
      <c r="L39" s="60"/>
      <c r="M39" s="48"/>
      <c r="N39" s="47"/>
      <c r="O39" s="47"/>
      <c r="P39" s="47"/>
    </row>
    <row r="40" spans="1:17" ht="21.75" customHeight="1">
      <c r="F40" s="60"/>
      <c r="G40" s="60"/>
      <c r="H40" s="60"/>
      <c r="I40" s="60"/>
      <c r="J40" s="60"/>
      <c r="K40" s="60"/>
      <c r="L40" s="60"/>
      <c r="M40" s="48"/>
      <c r="N40" s="47"/>
      <c r="O40" s="47"/>
      <c r="P40" s="47"/>
    </row>
    <row r="41" spans="1:17" ht="15" customHeight="1"/>
    <row r="42" spans="1:17" ht="15" customHeight="1"/>
    <row r="43" spans="1:17" ht="15" customHeight="1"/>
    <row r="44" spans="1:17" ht="15" customHeight="1"/>
    <row r="45" spans="1:17" ht="15" customHeight="1"/>
    <row r="46" spans="1:17" ht="15" customHeight="1"/>
    <row r="47" spans="1:17" ht="15" customHeight="1"/>
    <row r="48" spans="1:1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sheetProtection algorithmName="SHA-512" hashValue="VVU9savn+75KxgdvZkL6rp4h6ObWvem3kfwefKKtfVoToYr6rx/skjKPhuDffDBQg3BNARZLMuPtwhfqCpO+fQ==" saltValue="KDTWbWaHv/Dawba9KJBXLQ==" spinCount="100000" sheet="1" selectLockedCells="1"/>
  <mergeCells count="8">
    <mergeCell ref="F39:L40"/>
    <mergeCell ref="F37:H37"/>
    <mergeCell ref="F10:F11"/>
    <mergeCell ref="G10:G11"/>
    <mergeCell ref="J8:K8"/>
    <mergeCell ref="J9:K9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81EA-3CBB-41B0-AF69-304E49E9DC9D}">
  <dimension ref="X9:AB14"/>
  <sheetViews>
    <sheetView topLeftCell="L1" zoomScale="110" zoomScaleNormal="110" workbookViewId="0">
      <selection activeCell="O7" sqref="O7"/>
    </sheetView>
  </sheetViews>
  <sheetFormatPr baseColWidth="10" defaultRowHeight="12.75"/>
  <cols>
    <col min="25" max="25" width="18.85546875" bestFit="1" customWidth="1"/>
    <col min="26" max="26" width="19" bestFit="1" customWidth="1"/>
    <col min="27" max="28" width="14.85546875" bestFit="1" customWidth="1"/>
  </cols>
  <sheetData>
    <row r="9" spans="24:28" ht="15">
      <c r="X9" s="53"/>
      <c r="Y9" s="53"/>
      <c r="Z9" s="53"/>
      <c r="AA9" s="54">
        <v>100000</v>
      </c>
      <c r="AB9" s="54">
        <v>142865</v>
      </c>
    </row>
    <row r="10" spans="24:28" ht="15">
      <c r="X10" s="53"/>
      <c r="Y10" s="53"/>
      <c r="Z10" s="53"/>
      <c r="AA10" s="54">
        <f>+ROUND((AA9*Y14),0)</f>
        <v>40673</v>
      </c>
      <c r="AB10" s="54">
        <f>+ROUND((AB9*Y14),0)</f>
        <v>58108</v>
      </c>
    </row>
    <row r="11" spans="24:28" ht="15">
      <c r="X11" s="53"/>
      <c r="Y11" s="53"/>
      <c r="Z11" s="53"/>
      <c r="AA11" s="54"/>
      <c r="AB11" s="54">
        <f>+AB9-AB10</f>
        <v>84757</v>
      </c>
    </row>
    <row r="12" spans="24:28" ht="15">
      <c r="X12" s="53"/>
      <c r="Y12" s="54">
        <v>146936186</v>
      </c>
      <c r="Z12" s="54">
        <v>60000000</v>
      </c>
      <c r="AA12" s="53"/>
      <c r="AB12" s="53"/>
    </row>
    <row r="13" spans="24:28" ht="15">
      <c r="X13" s="53"/>
      <c r="Y13" s="53"/>
      <c r="Z13" s="53">
        <v>236374</v>
      </c>
      <c r="AA13" s="53"/>
      <c r="AB13" s="53"/>
    </row>
    <row r="14" spans="24:28" ht="15">
      <c r="X14" s="53">
        <v>2729218</v>
      </c>
      <c r="Y14" s="55">
        <v>0.40673199999999998</v>
      </c>
      <c r="Z14" s="56">
        <f>+Z12-Z13</f>
        <v>59763626</v>
      </c>
      <c r="AA14" s="54">
        <f>+X14*Y14</f>
        <v>1110060.2955759999</v>
      </c>
      <c r="AB14" s="54">
        <f>+AA14-AA11-AB11</f>
        <v>1025303.2955759999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ON PCR Clase Q</vt:lpstr>
      <vt:lpstr>Hoja1</vt:lpstr>
      <vt:lpstr>'ON PCR Clase Q'!Área_de_impresión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2024-07-12T14:52:11Z</dcterms:modified>
</cp:coreProperties>
</file>