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CR\ON PCR Clase R\"/>
    </mc:Choice>
  </mc:AlternateContent>
  <xr:revisionPtr revIDLastSave="0" documentId="13_ncr:1_{6FD22C57-5C9B-4965-A7BE-779B3B5793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PCR Clase R" sheetId="6" r:id="rId1"/>
  </sheets>
  <definedNames>
    <definedName name="_xlnm.Print_Area" localSheetId="0">'ON PCR Clase R'!$A$6:$P$20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H20" i="6"/>
  <c r="H19" i="6"/>
  <c r="D22" i="6"/>
  <c r="D21" i="6"/>
  <c r="D20" i="6"/>
  <c r="D19" i="6"/>
  <c r="D18" i="6"/>
  <c r="D17" i="6"/>
  <c r="H18" i="6" s="1"/>
  <c r="H16" i="6"/>
  <c r="H15" i="6"/>
  <c r="H22" i="6"/>
  <c r="H17" i="6" l="1"/>
  <c r="F22" i="6"/>
  <c r="D16" i="6"/>
  <c r="H21" i="6"/>
  <c r="D15" i="6"/>
  <c r="B14" i="6"/>
  <c r="D14" i="6" s="1"/>
  <c r="C22" i="6"/>
  <c r="J23" i="6" l="1"/>
  <c r="C21" i="6" l="1"/>
  <c r="C18" i="6" l="1"/>
  <c r="C19" i="6"/>
  <c r="F14" i="6" l="1"/>
  <c r="O22" i="6" l="1"/>
  <c r="C20" i="6"/>
  <c r="G14" i="6"/>
  <c r="C14" i="6" l="1"/>
  <c r="C15" i="6" l="1"/>
  <c r="C16" i="6"/>
  <c r="C17" i="6"/>
  <c r="K14" i="6"/>
  <c r="G15" i="6" s="1"/>
  <c r="L14" i="6" l="1"/>
  <c r="K15" i="6" l="1"/>
  <c r="G16" i="6" s="1"/>
  <c r="I16" i="6" s="1"/>
  <c r="K16" i="6" l="1"/>
  <c r="G17" i="6" s="1"/>
  <c r="I17" i="6" s="1"/>
  <c r="L17" i="6" l="1"/>
  <c r="L16" i="6"/>
  <c r="K17" i="6" l="1"/>
  <c r="G18" i="6" l="1"/>
  <c r="I18" i="6" s="1"/>
  <c r="I15" i="6" l="1"/>
  <c r="K18" i="6"/>
  <c r="L18" i="6"/>
  <c r="G19" i="6" l="1"/>
  <c r="I19" i="6" s="1"/>
  <c r="L19" i="6" s="1"/>
  <c r="L15" i="6"/>
  <c r="F16" i="6"/>
  <c r="O16" i="6" s="1"/>
  <c r="F15" i="6"/>
  <c r="F19" i="6"/>
  <c r="O19" i="6" s="1"/>
  <c r="F21" i="6"/>
  <c r="O21" i="6" s="1"/>
  <c r="F18" i="6"/>
  <c r="O18" i="6" s="1"/>
  <c r="F20" i="6"/>
  <c r="O20" i="6" s="1"/>
  <c r="F17" i="6"/>
  <c r="O17" i="6" s="1"/>
  <c r="K19" i="6" l="1"/>
  <c r="G20" i="6" s="1"/>
  <c r="I20" i="6" s="1"/>
  <c r="L20" i="6" s="1"/>
  <c r="O15" i="6"/>
  <c r="K20" i="6" l="1"/>
  <c r="G21" i="6"/>
  <c r="I21" i="6" s="1"/>
  <c r="K21" i="6"/>
  <c r="G22" i="6" s="1"/>
  <c r="I22" i="6" l="1"/>
  <c r="L21" i="6"/>
  <c r="K22" i="6" l="1"/>
  <c r="L22" i="6" l="1"/>
  <c r="L8" i="6" s="1"/>
  <c r="L9" i="6" s="1"/>
  <c r="I23" i="6" l="1"/>
  <c r="L23" i="6" l="1"/>
  <c r="N18" i="6" l="1"/>
  <c r="N17" i="6"/>
  <c r="N21" i="6"/>
  <c r="N15" i="6"/>
  <c r="N16" i="6"/>
  <c r="N19" i="6"/>
  <c r="N20" i="6"/>
  <c r="N22" i="6"/>
  <c r="N23" i="6" l="1"/>
  <c r="Q17" i="6" l="1"/>
  <c r="L11" i="6"/>
  <c r="Q19" i="6"/>
  <c r="Q21" i="6"/>
  <c r="Q16" i="6"/>
  <c r="Q15" i="6"/>
  <c r="Q22" i="6"/>
  <c r="Q18" i="6"/>
  <c r="Q20" i="6"/>
  <c r="L10" i="6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<sst xmlns="http://schemas.openxmlformats.org/spreadsheetml/2006/main" count="22" uniqueCount="22">
  <si>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</si>
  <si>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</si>
  <si>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</si>
  <si>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</si>
  <si>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</si>
  <si>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</si>
  <si>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</si>
  <si>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</si>
  <si>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</si>
  <si>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</si>
  <si>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</si>
  <si>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</si>
  <si>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</si>
  <si>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</si>
  <si>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</si>
  <si>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</si>
  <si>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</si>
  <si>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>Tasa Fija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</si>
  <si>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</si>
  <si>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Dólar MEP - 48 meses</t>
  </si>
  <si>
    <t>TNA (180 d)</t>
  </si>
  <si>
    <t>Obligaciones Negociables Petroquímica Comodoro Rivadavia S.A. Clase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</si>
</sst>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_ &quot;$&quot;\ * #,##0.00_ ;_ &quot;$&quot;\ * \-#,##0.0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9" fontId="8" fillId="2" borderId="2" xfId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4" xfId="0" applyNumberFormat="1" applyFont="1" applyBorder="1"/>
    <xf numFmtId="0" fontId="5" fillId="0" borderId="0" xfId="0" applyFont="1"/>
    <xf numFmtId="166" fontId="5" fillId="0" borderId="0" xfId="0" applyNumberFormat="1" applyFont="1"/>
    <xf numFmtId="0" fontId="4" fillId="5" borderId="0" xfId="0" applyFont="1" applyFill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0" fontId="14" fillId="5" borderId="0" xfId="0" applyFont="1" applyFill="1" applyAlignment="1" applyProtection="1">
      <alignment vertical="top" wrapText="1"/>
      <protection hidden="1"/>
    </xf>
    <xf numFmtId="173" fontId="5" fillId="2" borderId="0" xfId="0" applyNumberFormat="1" applyFont="1" applyFill="1" applyProtection="1">
      <protection hidden="1"/>
    </xf>
    <xf numFmtId="173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3" fontId="5" fillId="2" borderId="9" xfId="0" applyNumberFormat="1" applyFont="1" applyFill="1" applyBorder="1" applyProtection="1">
      <protection hidden="1"/>
    </xf>
    <xf numFmtId="173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0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166" fontId="7" fillId="4" borderId="12" xfId="0" applyNumberFormat="1" applyFont="1" applyFill="1" applyBorder="1" applyAlignment="1" applyProtection="1">
      <alignment horizontal="left" vertical="center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0" fontId="8" fillId="3" borderId="12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0" fontId="9" fillId="4" borderId="3" xfId="0" applyFont="1" applyFill="1" applyBorder="1" applyAlignment="1" applyProtection="1">
      <alignment horizontal="right" indent="1"/>
      <protection hidden="1"/>
    </xf>
  </cellXfs>
  <cellStyles count="8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10585</xdr:colOff>
      <xdr:row>0</xdr:row>
      <xdr:rowOff>156106</xdr:rowOff>
    </xdr:from>
    <xdr:to>
      <xdr:col>5</xdr:col>
      <xdr:colOff>1344614</xdr:colOff>
      <xdr:row>3</xdr:row>
      <xdr:rowOff>144485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5665D2-980F-4A48-88B7-9D8CCB8F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3835" y="156106"/>
          <a:ext cx="1330854" cy="532892"/>
        </a:xfrm>
        <a:prstGeom prst="rect">
          <a:avLst/>
        </a:prstGeom>
      </xdr:spPr>
    </xdr:pic>
    <xdr:clientData/>
  </xdr:twoCellAnchor>
  <xdr:twoCellAnchor editAs="oneCell">
    <xdr:from>
      <xdr:col>10</xdr:col>
      <xdr:colOff>1119188</xdr:colOff>
      <xdr:row>0</xdr:row>
      <xdr:rowOff>80170</xdr:rowOff>
    </xdr:from>
    <xdr:to>
      <xdr:col>11</xdr:col>
      <xdr:colOff>979261</xdr:colOff>
      <xdr:row>3</xdr:row>
      <xdr:rowOff>103493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0162E0-3BA3-A94C-C6A3-FD65A1B1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73688" y="80170"/>
          <a:ext cx="1511866" cy="555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zoomScale="80" zoomScaleNormal="80" workbookViewId="0">
      <selection activeCell="G8" sqref="G8"/>
    </sheetView>
  </sheetViews>
  <sheetFormatPr baseColWidth="10" defaultColWidth="9.140625" defaultRowHeight="15" customHeight="1" zeroHeight="1"/>
  <cols>
    <col min="1" max="1" width="9.140625" style="5" customWidth="1"/>
    <col min="2" max="2" width="39" style="5" hidden="1" customWidth="1"/>
    <col min="3" max="3" width="15.85546875" style="5" hidden="1" customWidth="1"/>
    <col min="4" max="4" width="39.140625" style="5" hidden="1" customWidth="1"/>
    <col min="5" max="5" width="11.28515625" style="38" customWidth="1"/>
    <col min="6" max="6" width="37" style="39" customWidth="1"/>
    <col min="7" max="7" width="16.7109375" style="38" bestFit="1" customWidth="1"/>
    <col min="8" max="8" width="13.42578125" style="38" bestFit="1" customWidth="1"/>
    <col min="9" max="9" width="18.28515625" style="38" customWidth="1"/>
    <col min="10" max="10" width="21.28515625" style="38" bestFit="1" customWidth="1"/>
    <col min="11" max="11" width="23.7109375" style="38" bestFit="1" customWidth="1"/>
    <col min="12" max="12" width="17.42578125" style="38" bestFit="1" customWidth="1"/>
    <col min="13" max="13" width="9.42578125" style="40" customWidth="1"/>
    <col min="14" max="14" width="10.28515625" style="5" hidden="1" customWidth="1"/>
    <col min="15" max="16" width="9.140625" style="5" hidden="1" customWidth="1"/>
    <col min="17" max="17" width="9.85546875" style="5" hidden="1" customWidth="1"/>
    <col min="18" max="18" width="9.140625" style="5" customWidth="1"/>
    <col min="19" max="16384" width="9.140625" style="5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21</v>
      </c>
      <c r="G5" s="6"/>
      <c r="H5" s="6"/>
      <c r="I5" s="6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19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11</v>
      </c>
      <c r="G8" s="8">
        <v>100000</v>
      </c>
      <c r="H8" s="2"/>
      <c r="I8" s="2"/>
      <c r="J8" s="61" t="s">
        <v>0</v>
      </c>
      <c r="K8" s="61"/>
      <c r="L8" s="9">
        <f>+XIRR(L14:L22,F14:F22)</f>
        <v>6.6054889559745769E-2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1">
        <v>45587</v>
      </c>
      <c r="H9" s="2"/>
      <c r="I9" s="2"/>
      <c r="J9" s="61" t="s">
        <v>20</v>
      </c>
      <c r="K9" s="61"/>
      <c r="L9" s="9">
        <f>+((1+L8)^(1/2)-1)*2</f>
        <v>6.4998682381899986E-2</v>
      </c>
      <c r="M9" s="11"/>
    </row>
    <row r="10" spans="1:17">
      <c r="A10" s="1"/>
      <c r="B10" s="1"/>
      <c r="C10" s="1"/>
      <c r="D10" s="1"/>
      <c r="E10" s="2"/>
      <c r="F10" s="57" t="s">
        <v>17</v>
      </c>
      <c r="G10" s="59">
        <v>6.5000000000000002E-2</v>
      </c>
      <c r="H10" s="2"/>
      <c r="I10" s="2"/>
      <c r="J10" s="61" t="s">
        <v>2</v>
      </c>
      <c r="K10" s="61"/>
      <c r="L10" s="12">
        <f>+SUM(Q15:Q22)/(365/12)</f>
        <v>43.084584024625123</v>
      </c>
      <c r="M10" s="11"/>
    </row>
    <row r="11" spans="1:17">
      <c r="A11" s="1"/>
      <c r="B11" s="1"/>
      <c r="C11" s="1"/>
      <c r="D11" s="1"/>
      <c r="E11" s="2"/>
      <c r="F11" s="58"/>
      <c r="G11" s="60"/>
      <c r="H11" s="13"/>
      <c r="I11" s="6"/>
      <c r="J11" s="61" t="s">
        <v>8</v>
      </c>
      <c r="K11" s="61"/>
      <c r="L11" s="14">
        <f>+N23/G14</f>
        <v>0.99999999029174302</v>
      </c>
      <c r="M11" s="15"/>
      <c r="N11" s="16"/>
    </row>
    <row r="12" spans="1:17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7" s="25" customFormat="1" ht="28.5" customHeight="1" thickBot="1">
      <c r="A13" s="18"/>
      <c r="B13" s="19"/>
      <c r="C13" s="19" t="s">
        <v>7</v>
      </c>
      <c r="D13" s="19"/>
      <c r="E13" s="20"/>
      <c r="F13" s="21" t="s">
        <v>3</v>
      </c>
      <c r="G13" s="21" t="s">
        <v>12</v>
      </c>
      <c r="H13" s="21" t="s">
        <v>4</v>
      </c>
      <c r="I13" s="21" t="s">
        <v>13</v>
      </c>
      <c r="J13" s="21" t="s">
        <v>14</v>
      </c>
      <c r="K13" s="21" t="s">
        <v>15</v>
      </c>
      <c r="L13" s="22" t="s">
        <v>16</v>
      </c>
      <c r="M13" s="23"/>
      <c r="N13" s="24" t="s">
        <v>1</v>
      </c>
      <c r="O13" s="24" t="s">
        <v>5</v>
      </c>
      <c r="Q13" s="24" t="s">
        <v>9</v>
      </c>
    </row>
    <row r="14" spans="1:17">
      <c r="A14" s="1"/>
      <c r="B14" s="26">
        <f>+G9</f>
        <v>45587</v>
      </c>
      <c r="C14" s="27">
        <f>+$G$10</f>
        <v>6.5000000000000002E-2</v>
      </c>
      <c r="D14" s="26">
        <f>+B14</f>
        <v>45587</v>
      </c>
      <c r="E14" s="28"/>
      <c r="F14" s="29">
        <f>+G9</f>
        <v>45587</v>
      </c>
      <c r="G14" s="49">
        <f>+G8</f>
        <v>100000</v>
      </c>
      <c r="H14" s="43"/>
      <c r="I14" s="42"/>
      <c r="J14" s="42"/>
      <c r="K14" s="49">
        <f t="shared" ref="K14:K17" si="0">+G14-J14</f>
        <v>100000</v>
      </c>
      <c r="L14" s="51">
        <f>-G14</f>
        <v>-100000</v>
      </c>
      <c r="M14" s="30"/>
      <c r="N14" s="31"/>
      <c r="O14" s="31"/>
    </row>
    <row r="15" spans="1:17">
      <c r="A15" s="1"/>
      <c r="B15" s="26">
        <v>45769</v>
      </c>
      <c r="C15" s="27">
        <f t="shared" ref="C15:C22" si="1">+$G$10</f>
        <v>6.5000000000000002E-2</v>
      </c>
      <c r="D15" s="26">
        <f>+B15</f>
        <v>45769</v>
      </c>
      <c r="E15" s="28"/>
      <c r="F15" s="32">
        <f>+D15</f>
        <v>45769</v>
      </c>
      <c r="G15" s="49">
        <f>+K14</f>
        <v>100000</v>
      </c>
      <c r="H15" s="45">
        <f t="shared" ref="H15:H20" si="2">D15-D14</f>
        <v>182</v>
      </c>
      <c r="I15" s="49">
        <f>+G15*($G$10)*(H15)/365</f>
        <v>3241.0958904109589</v>
      </c>
      <c r="J15" s="42"/>
      <c r="K15" s="49">
        <f t="shared" si="0"/>
        <v>100000</v>
      </c>
      <c r="L15" s="51">
        <f t="shared" ref="L15:L22" si="3">+I15+J15</f>
        <v>3241.0958904109589</v>
      </c>
      <c r="M15" s="30"/>
      <c r="N15" s="33">
        <f>+L15/(1+$L$8)^((O15)/365)</f>
        <v>3139.3529934590033</v>
      </c>
      <c r="O15" s="34">
        <f t="shared" ref="O15:O22" si="4">+F15-$F$14</f>
        <v>182</v>
      </c>
      <c r="Q15" s="35">
        <f t="shared" ref="Q15:Q22" si="5">+(N15/$N$23)*O15</f>
        <v>5.7136225035647019</v>
      </c>
    </row>
    <row r="16" spans="1:17">
      <c r="A16" s="1"/>
      <c r="B16" s="26">
        <v>45952</v>
      </c>
      <c r="C16" s="27">
        <f t="shared" si="1"/>
        <v>6.5000000000000002E-2</v>
      </c>
      <c r="D16" s="26">
        <f t="shared" ref="D16" si="6">+B16</f>
        <v>45952</v>
      </c>
      <c r="E16" s="28"/>
      <c r="F16" s="32">
        <f t="shared" ref="F16:F22" si="7">+D16</f>
        <v>45952</v>
      </c>
      <c r="G16" s="49">
        <f>+K15</f>
        <v>100000</v>
      </c>
      <c r="H16" s="45">
        <f t="shared" si="2"/>
        <v>183</v>
      </c>
      <c r="I16" s="49">
        <f t="shared" ref="I16:I22" si="8">+G16*($G$10)*(H16)/365</f>
        <v>3258.9041095890411</v>
      </c>
      <c r="J16" s="42"/>
      <c r="K16" s="49">
        <f>+G16-J16</f>
        <v>100000</v>
      </c>
      <c r="L16" s="51">
        <f t="shared" si="3"/>
        <v>3258.9041095890411</v>
      </c>
      <c r="M16" s="30"/>
      <c r="N16" s="33">
        <f t="shared" ref="N16:N22" si="9">+L16/(1+$L$8)^((O16)/365)</f>
        <v>3056.975903871974</v>
      </c>
      <c r="O16" s="34">
        <f t="shared" si="4"/>
        <v>365</v>
      </c>
      <c r="Q16" s="35">
        <f t="shared" si="5"/>
        <v>11.157962157457069</v>
      </c>
    </row>
    <row r="17" spans="1:17">
      <c r="A17" s="1"/>
      <c r="B17" s="26">
        <v>46134</v>
      </c>
      <c r="C17" s="27">
        <f t="shared" si="1"/>
        <v>6.5000000000000002E-2</v>
      </c>
      <c r="D17" s="26">
        <f>+B17</f>
        <v>46134</v>
      </c>
      <c r="E17" s="28"/>
      <c r="F17" s="32">
        <f t="shared" si="7"/>
        <v>46134</v>
      </c>
      <c r="G17" s="49">
        <f>+K16</f>
        <v>100000</v>
      </c>
      <c r="H17" s="45">
        <f t="shared" si="2"/>
        <v>182</v>
      </c>
      <c r="I17" s="49">
        <f t="shared" si="8"/>
        <v>3241.0958904109589</v>
      </c>
      <c r="J17" s="42"/>
      <c r="K17" s="49">
        <f t="shared" si="0"/>
        <v>100000</v>
      </c>
      <c r="L17" s="51">
        <f t="shared" si="3"/>
        <v>3241.0958904109589</v>
      </c>
      <c r="M17" s="30"/>
      <c r="N17" s="33">
        <f t="shared" si="9"/>
        <v>2944.8324136062806</v>
      </c>
      <c r="O17" s="34">
        <f t="shared" si="4"/>
        <v>547</v>
      </c>
      <c r="Q17" s="35">
        <f t="shared" si="5"/>
        <v>16.108233458809227</v>
      </c>
    </row>
    <row r="18" spans="1:17">
      <c r="A18" s="1"/>
      <c r="B18" s="26">
        <v>46317</v>
      </c>
      <c r="C18" s="27">
        <f t="shared" si="1"/>
        <v>6.5000000000000002E-2</v>
      </c>
      <c r="D18" s="26">
        <f>+B18</f>
        <v>46317</v>
      </c>
      <c r="E18" s="28"/>
      <c r="F18" s="32">
        <f t="shared" ref="F18:F19" si="10">+D18</f>
        <v>46317</v>
      </c>
      <c r="G18" s="49">
        <f t="shared" ref="G18:G22" si="11">+K17</f>
        <v>100000</v>
      </c>
      <c r="H18" s="45">
        <f t="shared" si="2"/>
        <v>183</v>
      </c>
      <c r="I18" s="49">
        <f t="shared" si="8"/>
        <v>3258.9041095890411</v>
      </c>
      <c r="J18" s="42"/>
      <c r="K18" s="49">
        <f t="shared" ref="K18:K19" si="12">+G18-J18</f>
        <v>100000</v>
      </c>
      <c r="L18" s="51">
        <f t="shared" ref="L18:L19" si="13">+I18+J18</f>
        <v>3258.9041095890411</v>
      </c>
      <c r="M18" s="30"/>
      <c r="N18" s="33">
        <f t="shared" si="9"/>
        <v>2867.5595729732354</v>
      </c>
      <c r="O18" s="34">
        <f t="shared" si="4"/>
        <v>730</v>
      </c>
      <c r="Q18" s="35">
        <f t="shared" si="5"/>
        <v>20.93318508592936</v>
      </c>
    </row>
    <row r="19" spans="1:17">
      <c r="A19" s="1"/>
      <c r="B19" s="26">
        <v>46499</v>
      </c>
      <c r="C19" s="27">
        <f t="shared" si="1"/>
        <v>6.5000000000000002E-2</v>
      </c>
      <c r="D19" s="26">
        <f>+B19</f>
        <v>46499</v>
      </c>
      <c r="E19" s="28"/>
      <c r="F19" s="32">
        <f t="shared" si="10"/>
        <v>46499</v>
      </c>
      <c r="G19" s="49">
        <f t="shared" si="11"/>
        <v>100000</v>
      </c>
      <c r="H19" s="45">
        <f t="shared" si="2"/>
        <v>182</v>
      </c>
      <c r="I19" s="49">
        <f t="shared" si="8"/>
        <v>3241.0958904109589</v>
      </c>
      <c r="J19" s="42"/>
      <c r="K19" s="49">
        <f t="shared" si="12"/>
        <v>100000</v>
      </c>
      <c r="L19" s="51">
        <f t="shared" si="13"/>
        <v>3241.0958904109589</v>
      </c>
      <c r="M19" s="30"/>
      <c r="N19" s="33">
        <f t="shared" si="9"/>
        <v>2762.3647172824503</v>
      </c>
      <c r="O19" s="34">
        <f t="shared" si="4"/>
        <v>912</v>
      </c>
      <c r="Q19" s="35">
        <f t="shared" si="5"/>
        <v>25.192766466193799</v>
      </c>
    </row>
    <row r="20" spans="1:17">
      <c r="A20" s="1"/>
      <c r="B20" s="26">
        <v>46682</v>
      </c>
      <c r="C20" s="27">
        <f t="shared" si="1"/>
        <v>6.5000000000000002E-2</v>
      </c>
      <c r="D20" s="26">
        <f>+B20</f>
        <v>46682</v>
      </c>
      <c r="E20" s="28"/>
      <c r="F20" s="32">
        <f t="shared" si="7"/>
        <v>46682</v>
      </c>
      <c r="G20" s="49">
        <f t="shared" si="11"/>
        <v>100000</v>
      </c>
      <c r="H20" s="45">
        <f t="shared" si="2"/>
        <v>183</v>
      </c>
      <c r="I20" s="49">
        <f t="shared" si="8"/>
        <v>3258.9041095890411</v>
      </c>
      <c r="J20" s="42"/>
      <c r="K20" s="49">
        <f>+G20-J20</f>
        <v>100000</v>
      </c>
      <c r="L20" s="51">
        <f t="shared" si="3"/>
        <v>3258.9041095890411</v>
      </c>
      <c r="M20" s="30"/>
      <c r="N20" s="33">
        <f t="shared" si="9"/>
        <v>2689.8798561464937</v>
      </c>
      <c r="O20" s="34">
        <f t="shared" si="4"/>
        <v>1095</v>
      </c>
      <c r="Q20" s="35">
        <f t="shared" si="5"/>
        <v>29.454184710752902</v>
      </c>
    </row>
    <row r="21" spans="1:17">
      <c r="A21" s="1"/>
      <c r="B21" s="26">
        <v>46865</v>
      </c>
      <c r="C21" s="27">
        <f t="shared" si="1"/>
        <v>6.5000000000000002E-2</v>
      </c>
      <c r="D21" s="26">
        <f>+B21+2</f>
        <v>46867</v>
      </c>
      <c r="E21" s="28"/>
      <c r="F21" s="32">
        <f t="shared" si="7"/>
        <v>46867</v>
      </c>
      <c r="G21" s="49">
        <f t="shared" si="11"/>
        <v>100000</v>
      </c>
      <c r="H21" s="45">
        <f t="shared" ref="H21" si="14">D21-D20</f>
        <v>185</v>
      </c>
      <c r="I21" s="49">
        <f t="shared" si="8"/>
        <v>3294.5205479452056</v>
      </c>
      <c r="J21" s="42"/>
      <c r="K21" s="49">
        <f t="shared" ref="K21:K22" si="15">+G21-J21</f>
        <v>100000</v>
      </c>
      <c r="L21" s="51">
        <f t="shared" si="3"/>
        <v>3294.5205479452056</v>
      </c>
      <c r="M21" s="30"/>
      <c r="N21" s="33">
        <f t="shared" si="9"/>
        <v>2632.5308365707529</v>
      </c>
      <c r="O21" s="34">
        <f t="shared" si="4"/>
        <v>1280</v>
      </c>
      <c r="Q21" s="35">
        <f t="shared" si="5"/>
        <v>33.696395035238901</v>
      </c>
    </row>
    <row r="22" spans="1:17" ht="15.75" thickBot="1">
      <c r="A22" s="1"/>
      <c r="B22" s="26">
        <v>47048</v>
      </c>
      <c r="C22" s="27">
        <f t="shared" si="1"/>
        <v>6.5000000000000002E-2</v>
      </c>
      <c r="D22" s="26">
        <f>+B22+1</f>
        <v>47049</v>
      </c>
      <c r="E22" s="28"/>
      <c r="F22" s="32">
        <f t="shared" si="7"/>
        <v>47049</v>
      </c>
      <c r="G22" s="49">
        <f t="shared" si="11"/>
        <v>100000</v>
      </c>
      <c r="H22" s="45">
        <f>D22-D21</f>
        <v>182</v>
      </c>
      <c r="I22" s="49">
        <f t="shared" si="8"/>
        <v>3241.0958904109589</v>
      </c>
      <c r="J22" s="42">
        <f>+G8</f>
        <v>100000</v>
      </c>
      <c r="K22" s="49">
        <f t="shared" si="15"/>
        <v>0</v>
      </c>
      <c r="L22" s="51">
        <f t="shared" si="3"/>
        <v>103241.09589041096</v>
      </c>
      <c r="M22" s="30"/>
      <c r="N22" s="33">
        <f t="shared" si="9"/>
        <v>79906.502735264105</v>
      </c>
      <c r="O22" s="34">
        <f t="shared" si="4"/>
        <v>1462</v>
      </c>
      <c r="Q22" s="35">
        <f t="shared" si="5"/>
        <v>1168.2330813310682</v>
      </c>
    </row>
    <row r="23" spans="1:17" ht="15.75" thickBot="1">
      <c r="A23" s="1"/>
      <c r="B23" s="36"/>
      <c r="C23" s="27"/>
      <c r="D23" s="1"/>
      <c r="E23" s="2"/>
      <c r="F23" s="54" t="s">
        <v>10</v>
      </c>
      <c r="G23" s="55"/>
      <c r="H23" s="56"/>
      <c r="I23" s="50">
        <f>SUM(I15:I22)</f>
        <v>26035.616438356163</v>
      </c>
      <c r="J23" s="46">
        <f>SUM(J15:J22)</f>
        <v>100000</v>
      </c>
      <c r="K23" s="44"/>
      <c r="L23" s="52">
        <f>SUM(L14:L22)</f>
        <v>26035.61643835617</v>
      </c>
      <c r="M23" s="4"/>
      <c r="N23" s="37">
        <f>SUM(N15:N22)</f>
        <v>99999.999029174302</v>
      </c>
    </row>
    <row r="24" spans="1:17" ht="15" customHeight="1">
      <c r="A24" s="1"/>
      <c r="B24" s="1"/>
      <c r="C24" s="1"/>
      <c r="D24" s="1"/>
      <c r="E24" s="2"/>
      <c r="F24" s="3"/>
      <c r="G24" s="2"/>
      <c r="H24" s="2"/>
      <c r="I24" s="2"/>
      <c r="J24" s="2"/>
      <c r="K24" s="2"/>
      <c r="L24" s="2"/>
      <c r="M24" s="4"/>
    </row>
    <row r="25" spans="1:17" ht="21.75" customHeight="1">
      <c r="F25" s="53" t="s">
        <v>18</v>
      </c>
      <c r="G25" s="53"/>
      <c r="H25" s="53"/>
      <c r="I25" s="53"/>
      <c r="J25" s="53"/>
      <c r="K25" s="53"/>
      <c r="L25" s="53"/>
      <c r="M25" s="48"/>
      <c r="N25" s="47"/>
      <c r="O25" s="47"/>
      <c r="P25" s="47"/>
    </row>
    <row r="26" spans="1:17" ht="21.75" customHeight="1">
      <c r="F26" s="53"/>
      <c r="G26" s="53"/>
      <c r="H26" s="53"/>
      <c r="I26" s="53"/>
      <c r="J26" s="53"/>
      <c r="K26" s="53"/>
      <c r="L26" s="53"/>
      <c r="M26" s="48"/>
      <c r="N26" s="47"/>
      <c r="O26" s="47"/>
      <c r="P26" s="47"/>
    </row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</sheetData>
  <sheetProtection algorithmName="SHA-512" hashValue="xgLwELP70nwwhxuelAFYkzf3yBvP0/4+j1aNE1PX+om8IYUsWa2Xrr7dlCxPnOdSannBwQWPY8wzk7ua26P2rQ==" saltValue="6rBOvDqe45TlY4nTlNw5rw==" spinCount="100000" sheet="1" selectLockedCells="1"/>
  <mergeCells count="8">
    <mergeCell ref="F25:L26"/>
    <mergeCell ref="F23:H23"/>
    <mergeCell ref="F10:F11"/>
    <mergeCell ref="G10:G11"/>
    <mergeCell ref="J8:K8"/>
    <mergeCell ref="J9:K9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PCR Clase R</vt:lpstr>
      <vt:lpstr>'ON PCR Clase R'!Área_de_impresión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2024-10-18T13:04:38Z</dcterms:modified>
</cp:coreProperties>
</file>